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340" windowHeight="8160" activeTab="0"/>
  </bookViews>
  <sheets>
    <sheet name="ЗагрузКотиТП 31дек20" sheetId="1" r:id="rId1"/>
    <sheet name="31.12.2020 по Теплообменник" sheetId="2" r:id="rId2"/>
  </sheets>
  <definedNames>
    <definedName name="_xlnm.Print_Area" localSheetId="1">'31.12.2020 по Теплообменник'!$A$1:$AD$62</definedName>
    <definedName name="_xlnm.Print_Area" localSheetId="0">'ЗагрузКотиТП 31дек20'!$A$1:$M$64</definedName>
  </definedNames>
  <calcPr fullCalcOnLoad="1"/>
</workbook>
</file>

<file path=xl/sharedStrings.xml><?xml version="1.0" encoding="utf-8"?>
<sst xmlns="http://schemas.openxmlformats.org/spreadsheetml/2006/main" count="162" uniqueCount="100">
  <si>
    <t>У Т В Е Р Ж Д А Ю</t>
  </si>
  <si>
    <t>Отопление</t>
  </si>
  <si>
    <t>№№ п/п</t>
  </si>
  <si>
    <t>Наименование  котельной</t>
  </si>
  <si>
    <t>ГВС</t>
  </si>
  <si>
    <t>Информация по уровню загрузки мощностей теплоисточников и уровню соответствия тепловых мощностей</t>
  </si>
  <si>
    <t>КПД</t>
  </si>
  <si>
    <t>Рабочая мощность (с учётом КПД)</t>
  </si>
  <si>
    <t>Расчётная нагрузка по потребителям, Гкал/час</t>
  </si>
  <si>
    <t>ИТОГО</t>
  </si>
  <si>
    <t>Запас по раб. мощности с учётом выданных ТУ, Гкал/ч</t>
  </si>
  <si>
    <t>Установ-ленная мощность, Гкал/час</t>
  </si>
  <si>
    <t>Всего, с учётом нормат. потерь (10%)</t>
  </si>
  <si>
    <t>Котельная №1</t>
  </si>
  <si>
    <t>ГАЗОВЫЕ  КОТЕЛЬНЫЕ</t>
  </si>
  <si>
    <t>Котельная №2</t>
  </si>
  <si>
    <t>Котельная №3</t>
  </si>
  <si>
    <t>Котельная №4</t>
  </si>
  <si>
    <t>Котельная №5</t>
  </si>
  <si>
    <t>Котельная №6</t>
  </si>
  <si>
    <t>Котельная №7</t>
  </si>
  <si>
    <t>Котельная №9</t>
  </si>
  <si>
    <t>Котельная №10</t>
  </si>
  <si>
    <t>Котельная №24</t>
  </si>
  <si>
    <t>Котельная №11</t>
  </si>
  <si>
    <t>Котельная №12</t>
  </si>
  <si>
    <t>Котельная №13</t>
  </si>
  <si>
    <t>Котельная №17</t>
  </si>
  <si>
    <t>Котельная №19</t>
  </si>
  <si>
    <t>Котельная №20</t>
  </si>
  <si>
    <t>Котельная №22</t>
  </si>
  <si>
    <t>Котельная №8</t>
  </si>
  <si>
    <t>Котельная №14</t>
  </si>
  <si>
    <t>Котельная №15</t>
  </si>
  <si>
    <t>Котельная №16</t>
  </si>
  <si>
    <t>Котельная №18</t>
  </si>
  <si>
    <t>Котельная №21</t>
  </si>
  <si>
    <t>Котельная №23</t>
  </si>
  <si>
    <t>УГОЛЬНЫЕ  КОТЕЛЬНЫЕ</t>
  </si>
  <si>
    <t>Генеральный директор ОАО "Горно-Алтайское ЖКХ"</t>
  </si>
  <si>
    <t>_________________ А. И. Илинзер</t>
  </si>
  <si>
    <t>ИТОГО по газовым котельным</t>
  </si>
  <si>
    <t>ИТОГО по угольным котельным</t>
  </si>
  <si>
    <t>Перспектив-ная нагрузка, согласно выданным ТУ, с уч. нормат. потерь (10%) Гкал/ч</t>
  </si>
  <si>
    <t>"____"________________ 2015г.</t>
  </si>
  <si>
    <t>Запас рабочей мощности (по расч. нагр., с уч. нормат. потерь 10%)</t>
  </si>
  <si>
    <t>Перспектив-ная нагрузка, согласно выданным ТУ, Гкал/ч</t>
  </si>
  <si>
    <t>ТП-1</t>
  </si>
  <si>
    <t>ТП-2</t>
  </si>
  <si>
    <t>ТП-3</t>
  </si>
  <si>
    <t>ТП-7</t>
  </si>
  <si>
    <t>ТП-8</t>
  </si>
  <si>
    <t xml:space="preserve">Котельная "Центральная" </t>
  </si>
  <si>
    <t>ИТОГО по котельной "Центральная"</t>
  </si>
  <si>
    <t>ИТОГО по котельным</t>
  </si>
  <si>
    <t>Итого по ТП</t>
  </si>
  <si>
    <t>Сх.Т/Сн. Г.Г-А</t>
  </si>
  <si>
    <t>Исп. Начальник ПТО Дубоделов В.В.</t>
  </si>
  <si>
    <t>Суммарная установленная ТО (ОТОПЛ + ГВС)</t>
  </si>
  <si>
    <t>КПД     %</t>
  </si>
  <si>
    <t xml:space="preserve">КПД     %    </t>
  </si>
  <si>
    <t>Котельная №25</t>
  </si>
  <si>
    <t xml:space="preserve"> потребностям потребителей тепловой энергии по котельным АО "Горно-Алтайское ЖКХ"</t>
  </si>
  <si>
    <t>ОТОПЛЕНИЕ Перспектив-ная нагрузка, согласно выданным ТУ, Гкал/ч</t>
  </si>
  <si>
    <t>ГВС Перспективная нагрузка, согласно выданным ТУ, Гкал/ч</t>
  </si>
  <si>
    <t>ОБЩАЯ Перспектив-ная нагрузка, согласно выданным ТУ, Гкал/ч</t>
  </si>
  <si>
    <t>Теплообменники отопления</t>
  </si>
  <si>
    <t>Теплообменники ГВС</t>
  </si>
  <si>
    <t xml:space="preserve">Котлы </t>
  </si>
  <si>
    <t>Существующая нагрузка</t>
  </si>
  <si>
    <t>Перспективная нагрузка (по выданным действующим ТУ)</t>
  </si>
  <si>
    <t>28.1</t>
  </si>
  <si>
    <t>28.2</t>
  </si>
  <si>
    <t>28.3</t>
  </si>
  <si>
    <t>28.4</t>
  </si>
  <si>
    <t>28.5.</t>
  </si>
  <si>
    <t>Котельная №26 Легенда</t>
  </si>
  <si>
    <t>Котельная №27 ПАТП</t>
  </si>
  <si>
    <t>Котельная №26</t>
  </si>
  <si>
    <t>Котельная №27</t>
  </si>
  <si>
    <t>Котельная ЗЖБИ</t>
  </si>
  <si>
    <t>29.</t>
  </si>
  <si>
    <t>29.1</t>
  </si>
  <si>
    <t>29.2</t>
  </si>
  <si>
    <t>29.3</t>
  </si>
  <si>
    <t>29.4</t>
  </si>
  <si>
    <t>29.5.</t>
  </si>
  <si>
    <t>ИТОГО по котельным с учётом нагрузок на кот.10 кот ЗЖБИ</t>
  </si>
  <si>
    <r>
      <rPr>
        <b/>
        <sz val="10"/>
        <rFont val="Arial Cyr"/>
        <family val="0"/>
      </rPr>
      <t xml:space="preserve">КОТЛЫ </t>
    </r>
    <r>
      <rPr>
        <sz val="10"/>
        <rFont val="Arial Cyr"/>
        <family val="0"/>
      </rPr>
      <t xml:space="preserve"> Установ-ленная мощность, Гкал/час</t>
    </r>
  </si>
  <si>
    <r>
      <rPr>
        <b/>
        <sz val="10"/>
        <rFont val="Arial Cyr"/>
        <family val="0"/>
      </rPr>
      <t xml:space="preserve">КОТЛЫ </t>
    </r>
    <r>
      <rPr>
        <sz val="10"/>
        <rFont val="Arial Cyr"/>
        <family val="0"/>
      </rPr>
      <t>Рабочая мощность (с учётом КПД)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</si>
  <si>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отоплнние установл.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</si>
  <si>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отопление рабочая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</si>
  <si>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ГВС установл. Мощность Гкал/ч</t>
    </r>
  </si>
  <si>
    <r>
      <rPr>
        <b/>
        <sz val="10"/>
        <rFont val="Arial Cyr"/>
        <family val="0"/>
      </rPr>
      <t xml:space="preserve">ТО </t>
    </r>
    <r>
      <rPr>
        <sz val="10"/>
        <rFont val="Arial Cyr"/>
        <family val="0"/>
      </rPr>
      <t>ГВС рабочая Мощность Гкал/ч</t>
    </r>
  </si>
  <si>
    <t>ЗАПАС От установленной мощности</t>
  </si>
  <si>
    <t>Всего нагрузка по всем газовым котельным</t>
  </si>
  <si>
    <t>ИТОГО по газовым котельным ГА ЖКХ</t>
  </si>
  <si>
    <t>ИТОГО по угольным котельным ГА ЖКХ</t>
  </si>
  <si>
    <t>Всего нагрузка по всем угольным котельным</t>
  </si>
  <si>
    <t>(по состоянию на 30.12.20г.)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</si>
</sst>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.00000"/>
    <numFmt numFmtId="177" formatCode="0.0000"/>
    <numFmt numFmtId="178" formatCode="0.00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20"/>
      <name val="Arial Narrow"/>
      <family val="2"/>
    </font>
    <font>
      <i/>
      <sz val="11"/>
      <color indexed="23"/>
      <name val="Arial Narrow"/>
      <family val="2"/>
    </font>
    <font>
      <sz val="11"/>
      <color indexed="52"/>
      <name val="Arial Narrow"/>
      <family val="2"/>
    </font>
    <font>
      <sz val="11"/>
      <color indexed="10"/>
      <name val="Arial Narrow"/>
      <family val="2"/>
    </font>
    <font>
      <sz val="11"/>
      <color indexed="17"/>
      <name val="Arial Narrow"/>
      <family val="2"/>
    </font>
    <font>
      <sz val="10"/>
      <color indexed="10"/>
      <name val="Arial Cyr"/>
      <family val="0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9C0006"/>
      <name val="Arial Narrow"/>
      <family val="2"/>
    </font>
    <font>
      <i/>
      <sz val="11"/>
      <color rgb="FF7F7F7F"/>
      <name val="Arial Narrow"/>
      <family val="2"/>
    </font>
    <font>
      <sz val="11"/>
      <color rgb="FFFA7D00"/>
      <name val="Arial Narrow"/>
      <family val="2"/>
    </font>
    <font>
      <sz val="11"/>
      <color rgb="FFFF0000"/>
      <name val="Arial Narrow"/>
      <family val="2"/>
    </font>
    <font>
      <sz val="11"/>
      <color rgb="FF006100"/>
      <name val="Arial Narrow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172" fontId="0" fillId="0" borderId="13" xfId="0" applyNumberFormat="1" applyFont="1" applyBorder="1" applyAlignment="1">
      <alignment/>
    </xf>
    <xf numFmtId="173" fontId="0" fillId="0" borderId="14" xfId="0" applyNumberFormat="1" applyFont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73" fontId="0" fillId="9" borderId="13" xfId="0" applyNumberFormat="1" applyFont="1" applyFill="1" applyBorder="1" applyAlignment="1">
      <alignment horizontal="center"/>
    </xf>
    <xf numFmtId="172" fontId="0" fillId="9" borderId="13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173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172" fontId="0" fillId="0" borderId="24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3" fontId="2" fillId="9" borderId="10" xfId="0" applyNumberFormat="1" applyFont="1" applyFill="1" applyBorder="1" applyAlignment="1">
      <alignment horizontal="center"/>
    </xf>
    <xf numFmtId="172" fontId="2" fillId="9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/>
    </xf>
    <xf numFmtId="173" fontId="0" fillId="0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0" fillId="33" borderId="12" xfId="0" applyNumberFormat="1" applyFont="1" applyFill="1" applyBorder="1" applyAlignment="1">
      <alignment horizontal="center"/>
    </xf>
    <xf numFmtId="173" fontId="0" fillId="33" borderId="14" xfId="0" applyNumberFormat="1" applyFont="1" applyFill="1" applyBorder="1" applyAlignment="1">
      <alignment horizontal="center"/>
    </xf>
    <xf numFmtId="173" fontId="0" fillId="33" borderId="16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vertical="center"/>
    </xf>
    <xf numFmtId="172" fontId="0" fillId="33" borderId="14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center"/>
    </xf>
    <xf numFmtId="173" fontId="2" fillId="33" borderId="16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2" fontId="0" fillId="9" borderId="24" xfId="0" applyNumberFormat="1" applyFont="1" applyFill="1" applyBorder="1" applyAlignment="1">
      <alignment horizontal="center"/>
    </xf>
    <xf numFmtId="173" fontId="0" fillId="9" borderId="2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173" fontId="0" fillId="0" borderId="15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14" xfId="0" applyNumberFormat="1" applyFont="1" applyFill="1" applyBorder="1" applyAlignment="1">
      <alignment horizontal="center"/>
    </xf>
    <xf numFmtId="173" fontId="0" fillId="0" borderId="16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72" fontId="0" fillId="0" borderId="17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left" wrapText="1"/>
    </xf>
    <xf numFmtId="173" fontId="0" fillId="0" borderId="2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172" fontId="0" fillId="0" borderId="11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3" fontId="0" fillId="33" borderId="13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173" fontId="2" fillId="33" borderId="17" xfId="0" applyNumberFormat="1" applyFon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/>
    </xf>
    <xf numFmtId="172" fontId="0" fillId="33" borderId="18" xfId="0" applyNumberFormat="1" applyFont="1" applyFill="1" applyBorder="1" applyAlignment="1">
      <alignment horizontal="center"/>
    </xf>
    <xf numFmtId="173" fontId="2" fillId="33" borderId="17" xfId="0" applyNumberFormat="1" applyFont="1" applyFill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/>
    </xf>
    <xf numFmtId="173" fontId="0" fillId="9" borderId="14" xfId="0" applyNumberFormat="1" applyFont="1" applyFill="1" applyBorder="1" applyAlignment="1">
      <alignment horizontal="center"/>
    </xf>
    <xf numFmtId="173" fontId="6" fillId="9" borderId="10" xfId="0" applyNumberFormat="1" applyFont="1" applyFill="1" applyBorder="1" applyAlignment="1">
      <alignment horizontal="center"/>
    </xf>
    <xf numFmtId="173" fontId="0" fillId="9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173" fontId="2" fillId="0" borderId="26" xfId="0" applyNumberFormat="1" applyFont="1" applyFill="1" applyBorder="1" applyAlignment="1">
      <alignment horizontal="center" vertical="center"/>
    </xf>
    <xf numFmtId="173" fontId="2" fillId="0" borderId="23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172" fontId="0" fillId="35" borderId="15" xfId="0" applyNumberFormat="1" applyFont="1" applyFill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173" fontId="0" fillId="36" borderId="14" xfId="0" applyNumberFormat="1" applyFont="1" applyFill="1" applyBorder="1" applyAlignment="1">
      <alignment horizontal="center"/>
    </xf>
    <xf numFmtId="2" fontId="0" fillId="35" borderId="16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  <xf numFmtId="173" fontId="0" fillId="35" borderId="14" xfId="0" applyNumberFormat="1" applyFont="1" applyFill="1" applyBorder="1" applyAlignment="1">
      <alignment horizontal="center"/>
    </xf>
    <xf numFmtId="173" fontId="0" fillId="35" borderId="12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35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173" fontId="2" fillId="0" borderId="22" xfId="0" applyNumberFormat="1" applyFont="1" applyBorder="1" applyAlignment="1">
      <alignment horizontal="center"/>
    </xf>
    <xf numFmtId="173" fontId="2" fillId="9" borderId="2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173" fontId="0" fillId="36" borderId="13" xfId="0" applyNumberFormat="1" applyFont="1" applyFill="1" applyBorder="1" applyAlignment="1">
      <alignment horizontal="center"/>
    </xf>
    <xf numFmtId="173" fontId="0" fillId="9" borderId="1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72" fontId="0" fillId="0" borderId="23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center"/>
    </xf>
    <xf numFmtId="172" fontId="0" fillId="9" borderId="12" xfId="0" applyNumberFormat="1" applyFont="1" applyFill="1" applyBorder="1" applyAlignment="1">
      <alignment horizontal="center"/>
    </xf>
    <xf numFmtId="172" fontId="0" fillId="9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173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vertical="center" wrapText="1"/>
    </xf>
    <xf numFmtId="173" fontId="0" fillId="36" borderId="16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172" fontId="0" fillId="36" borderId="16" xfId="0" applyNumberFormat="1" applyFont="1" applyFill="1" applyBorder="1" applyAlignment="1">
      <alignment horizontal="center" vertical="center"/>
    </xf>
    <xf numFmtId="172" fontId="0" fillId="36" borderId="11" xfId="0" applyNumberFormat="1" applyFont="1" applyFill="1" applyBorder="1" applyAlignment="1">
      <alignment horizontal="center"/>
    </xf>
    <xf numFmtId="172" fontId="0" fillId="36" borderId="16" xfId="0" applyNumberFormat="1" applyFont="1" applyFill="1" applyBorder="1" applyAlignment="1">
      <alignment horizontal="center"/>
    </xf>
    <xf numFmtId="173" fontId="0" fillId="35" borderId="13" xfId="0" applyNumberFormat="1" applyFont="1" applyFill="1" applyBorder="1" applyAlignment="1">
      <alignment horizontal="center"/>
    </xf>
    <xf numFmtId="172" fontId="0" fillId="0" borderId="30" xfId="0" applyNumberFormat="1" applyFont="1" applyFill="1" applyBorder="1" applyAlignment="1">
      <alignment horizontal="center"/>
    </xf>
    <xf numFmtId="172" fontId="0" fillId="0" borderId="14" xfId="0" applyNumberFormat="1" applyFont="1" applyBorder="1" applyAlignment="1">
      <alignment/>
    </xf>
    <xf numFmtId="172" fontId="0" fillId="33" borderId="29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172" fontId="0" fillId="35" borderId="18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72" fontId="0" fillId="0" borderId="33" xfId="0" applyNumberFormat="1" applyFont="1" applyFill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173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33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3" fontId="0" fillId="0" borderId="16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173" fontId="0" fillId="35" borderId="15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35" borderId="14" xfId="0" applyNumberFormat="1" applyFont="1" applyFill="1" applyBorder="1" applyAlignment="1">
      <alignment horizontal="center"/>
    </xf>
    <xf numFmtId="172" fontId="0" fillId="35" borderId="16" xfId="0" applyNumberFormat="1" applyFont="1" applyFill="1" applyBorder="1" applyAlignment="1">
      <alignment horizontal="center"/>
    </xf>
    <xf numFmtId="172" fontId="0" fillId="35" borderId="16" xfId="0" applyNumberFormat="1" applyFont="1" applyFill="1" applyBorder="1" applyAlignment="1">
      <alignment horizontal="center" vertical="center"/>
    </xf>
    <xf numFmtId="173" fontId="0" fillId="35" borderId="10" xfId="0" applyNumberFormat="1" applyFont="1" applyFill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3" fontId="2" fillId="9" borderId="10" xfId="0" applyNumberFormat="1" applyFont="1" applyFill="1" applyBorder="1" applyAlignment="1">
      <alignment horizontal="center" vertical="center"/>
    </xf>
    <xf numFmtId="172" fontId="0" fillId="35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3" fontId="0" fillId="9" borderId="18" xfId="0" applyNumberFormat="1" applyFont="1" applyFill="1" applyBorder="1" applyAlignment="1">
      <alignment horizontal="center"/>
    </xf>
    <xf numFmtId="173" fontId="0" fillId="0" borderId="26" xfId="0" applyNumberFormat="1" applyFont="1" applyFill="1" applyBorder="1" applyAlignment="1">
      <alignment horizontal="center"/>
    </xf>
    <xf numFmtId="173" fontId="2" fillId="9" borderId="26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/>
    </xf>
    <xf numFmtId="172" fontId="6" fillId="0" borderId="25" xfId="0" applyNumberFormat="1" applyFont="1" applyFill="1" applyBorder="1" applyAlignment="1">
      <alignment horizontal="center"/>
    </xf>
    <xf numFmtId="172" fontId="2" fillId="9" borderId="17" xfId="0" applyNumberFormat="1" applyFont="1" applyFill="1" applyBorder="1" applyAlignment="1">
      <alignment horizontal="center"/>
    </xf>
    <xf numFmtId="173" fontId="2" fillId="9" borderId="17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173" fontId="0" fillId="6" borderId="10" xfId="0" applyNumberFormat="1" applyFont="1" applyFill="1" applyBorder="1" applyAlignment="1">
      <alignment horizontal="center"/>
    </xf>
    <xf numFmtId="173" fontId="2" fillId="6" borderId="10" xfId="0" applyNumberFormat="1" applyFont="1" applyFill="1" applyBorder="1" applyAlignment="1">
      <alignment horizontal="center" vertical="center"/>
    </xf>
    <xf numFmtId="172" fontId="2" fillId="12" borderId="10" xfId="0" applyNumberFormat="1" applyFont="1" applyFill="1" applyBorder="1" applyAlignment="1">
      <alignment horizontal="center"/>
    </xf>
    <xf numFmtId="173" fontId="0" fillId="9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3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73" fontId="2" fillId="0" borderId="27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73" fontId="2" fillId="0" borderId="36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/>
    </xf>
    <xf numFmtId="173" fontId="2" fillId="0" borderId="19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73" fontId="7" fillId="0" borderId="17" xfId="0" applyNumberFormat="1" applyFont="1" applyFill="1" applyBorder="1" applyAlignment="1">
      <alignment horizontal="center"/>
    </xf>
    <xf numFmtId="173" fontId="7" fillId="0" borderId="17" xfId="0" applyNumberFormat="1" applyFont="1" applyBorder="1" applyAlignment="1">
      <alignment horizontal="center"/>
    </xf>
    <xf numFmtId="173" fontId="7" fillId="0" borderId="27" xfId="0" applyNumberFormat="1" applyFont="1" applyBorder="1" applyAlignment="1">
      <alignment horizontal="center"/>
    </xf>
    <xf numFmtId="0" fontId="0" fillId="37" borderId="0" xfId="0" applyFill="1" applyBorder="1" applyAlignment="1">
      <alignment/>
    </xf>
    <xf numFmtId="172" fontId="0" fillId="0" borderId="37" xfId="0" applyNumberFormat="1" applyFont="1" applyFill="1" applyBorder="1" applyAlignment="1">
      <alignment horizontal="center"/>
    </xf>
    <xf numFmtId="172" fontId="0" fillId="9" borderId="18" xfId="0" applyNumberFormat="1" applyFont="1" applyFill="1" applyBorder="1" applyAlignment="1">
      <alignment horizontal="center"/>
    </xf>
    <xf numFmtId="173" fontId="0" fillId="2" borderId="10" xfId="0" applyNumberFormat="1" applyFont="1" applyFill="1" applyBorder="1" applyAlignment="1">
      <alignment horizontal="center"/>
    </xf>
    <xf numFmtId="0" fontId="0" fillId="9" borderId="14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left" vertical="top"/>
    </xf>
    <xf numFmtId="0" fontId="0" fillId="4" borderId="0" xfId="0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3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F71"/>
  <sheetViews>
    <sheetView tabSelected="1" zoomScale="70" zoomScaleNormal="70" zoomScaleSheetLayoutView="70" zoomScalePageLayoutView="0" workbookViewId="0" topLeftCell="A1">
      <selection activeCell="G62" sqref="G62"/>
    </sheetView>
  </sheetViews>
  <sheetFormatPr defaultColWidth="9.00390625" defaultRowHeight="12.75"/>
  <cols>
    <col min="1" max="1" width="5.25390625" style="0" customWidth="1"/>
    <col min="2" max="2" width="16.75390625" style="0" customWidth="1"/>
    <col min="3" max="3" width="10.375" style="0" customWidth="1"/>
    <col min="4" max="4" width="6.25390625" style="0" customWidth="1"/>
    <col min="5" max="5" width="12.00390625" style="0" customWidth="1"/>
    <col min="6" max="6" width="11.00390625" style="0" bestFit="1" customWidth="1"/>
    <col min="7" max="8" width="10.75390625" style="0" customWidth="1"/>
    <col min="9" max="10" width="14.75390625" style="0" customWidth="1"/>
    <col min="11" max="11" width="14.00390625" style="0" customWidth="1"/>
    <col min="12" max="12" width="13.875" style="0" customWidth="1"/>
    <col min="13" max="13" width="14.75390625" style="0" customWidth="1"/>
    <col min="14" max="14" width="10.375" style="0" bestFit="1" customWidth="1"/>
  </cols>
  <sheetData>
    <row r="2" spans="12:13" ht="12.75" customHeight="1" hidden="1">
      <c r="L2" s="288" t="s">
        <v>0</v>
      </c>
      <c r="M2" s="288"/>
    </row>
    <row r="3" spans="12:13" ht="12.75" customHeight="1" hidden="1">
      <c r="L3" s="289" t="s">
        <v>39</v>
      </c>
      <c r="M3" s="289"/>
    </row>
    <row r="4" spans="12:13" ht="15.75" customHeight="1" hidden="1">
      <c r="L4" s="289" t="s">
        <v>40</v>
      </c>
      <c r="M4" s="289"/>
    </row>
    <row r="5" spans="12:13" ht="15.75" customHeight="1" hidden="1">
      <c r="L5" s="289" t="s">
        <v>44</v>
      </c>
      <c r="M5" s="289"/>
    </row>
    <row r="6" ht="12.75" customHeight="1" hidden="1"/>
    <row r="7" ht="12.75" customHeight="1" hidden="1"/>
    <row r="8" spans="1:13" ht="15">
      <c r="A8" s="290" t="s">
        <v>5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</row>
    <row r="9" spans="1:13" ht="15">
      <c r="A9" s="290" t="s">
        <v>62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</row>
    <row r="10" spans="1:13" ht="12.75">
      <c r="A10" s="276" t="s">
        <v>99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2" spans="1:15" ht="27" customHeight="1">
      <c r="A12" s="277" t="s">
        <v>2</v>
      </c>
      <c r="B12" s="277" t="s">
        <v>3</v>
      </c>
      <c r="C12" s="278" t="s">
        <v>11</v>
      </c>
      <c r="D12" s="277" t="s">
        <v>6</v>
      </c>
      <c r="E12" s="280" t="s">
        <v>7</v>
      </c>
      <c r="F12" s="282" t="s">
        <v>8</v>
      </c>
      <c r="G12" s="283"/>
      <c r="H12" s="283"/>
      <c r="I12" s="283"/>
      <c r="J12" s="282" t="s">
        <v>45</v>
      </c>
      <c r="K12" s="284" t="s">
        <v>46</v>
      </c>
      <c r="L12" s="286" t="s">
        <v>43</v>
      </c>
      <c r="M12" s="262" t="s">
        <v>10</v>
      </c>
      <c r="N12" s="3"/>
      <c r="O12" s="4"/>
    </row>
    <row r="13" spans="1:15" ht="62.25" customHeight="1">
      <c r="A13" s="277"/>
      <c r="B13" s="277"/>
      <c r="C13" s="279"/>
      <c r="D13" s="277"/>
      <c r="E13" s="281"/>
      <c r="F13" s="143" t="s">
        <v>1</v>
      </c>
      <c r="G13" s="143" t="s">
        <v>4</v>
      </c>
      <c r="H13" s="144" t="s">
        <v>9</v>
      </c>
      <c r="I13" s="144" t="s">
        <v>12</v>
      </c>
      <c r="J13" s="282"/>
      <c r="K13" s="285"/>
      <c r="L13" s="287"/>
      <c r="M13" s="263"/>
      <c r="N13" s="24"/>
      <c r="O13" s="4"/>
    </row>
    <row r="14" spans="1:14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8">
        <v>10</v>
      </c>
      <c r="K14" s="2">
        <v>11</v>
      </c>
      <c r="L14" s="2">
        <v>12</v>
      </c>
      <c r="M14" s="2">
        <v>13</v>
      </c>
      <c r="N14" s="24"/>
    </row>
    <row r="15" spans="1:14" ht="12.75">
      <c r="A15" s="264" t="s">
        <v>14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6"/>
      <c r="N15" s="3"/>
    </row>
    <row r="16" spans="1:188" s="134" customFormat="1" ht="12.75">
      <c r="A16" s="145">
        <v>1</v>
      </c>
      <c r="B16" s="71" t="s">
        <v>13</v>
      </c>
      <c r="C16" s="8">
        <v>3.87</v>
      </c>
      <c r="D16" s="72">
        <v>88.66</v>
      </c>
      <c r="E16" s="8">
        <f>C16*D16/100</f>
        <v>3.431142</v>
      </c>
      <c r="F16" s="43">
        <v>3.449806</v>
      </c>
      <c r="G16" s="43">
        <v>0.368026</v>
      </c>
      <c r="H16" s="43">
        <f>SUM(F16:G16)</f>
        <v>3.817832</v>
      </c>
      <c r="I16" s="8">
        <f>H16*1.1</f>
        <v>4.1996152</v>
      </c>
      <c r="J16" s="60">
        <f aca="true" t="shared" si="0" ref="J16:J32">E16-I16</f>
        <v>-0.7684732000000003</v>
      </c>
      <c r="K16" s="10">
        <v>0</v>
      </c>
      <c r="L16" s="8">
        <f>K16*1.1</f>
        <v>0</v>
      </c>
      <c r="M16" s="119">
        <f>E16-I16-L16</f>
        <v>-0.7684732000000003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</row>
    <row r="17" spans="1:13" s="135" customFormat="1" ht="12.75">
      <c r="A17" s="146">
        <v>2</v>
      </c>
      <c r="B17" s="147" t="s">
        <v>15</v>
      </c>
      <c r="C17" s="8">
        <v>1.788</v>
      </c>
      <c r="D17" s="73">
        <v>87.87</v>
      </c>
      <c r="E17" s="66">
        <f aca="true" t="shared" si="1" ref="E17:E32">C17*D17/100</f>
        <v>1.5711156</v>
      </c>
      <c r="F17" s="43">
        <v>1.175363</v>
      </c>
      <c r="G17" s="43">
        <v>0.32835</v>
      </c>
      <c r="H17" s="10">
        <f aca="true" t="shared" si="2" ref="H17:H32">SUM(F17:G17)</f>
        <v>1.5037129999999999</v>
      </c>
      <c r="I17" s="66">
        <f>H17*1.1</f>
        <v>1.6540843</v>
      </c>
      <c r="J17" s="19">
        <f t="shared" si="0"/>
        <v>-0.08296870000000012</v>
      </c>
      <c r="K17" s="10">
        <v>0</v>
      </c>
      <c r="L17" s="8">
        <f aca="true" t="shared" si="3" ref="L17:L32">K17*1.1</f>
        <v>0</v>
      </c>
      <c r="M17" s="117">
        <f>E17-I17-L17</f>
        <v>-0.08296870000000012</v>
      </c>
    </row>
    <row r="18" spans="1:13" s="135" customFormat="1" ht="12.75">
      <c r="A18" s="146">
        <v>3</v>
      </c>
      <c r="B18" s="148" t="s">
        <v>16</v>
      </c>
      <c r="C18" s="66">
        <v>6.45</v>
      </c>
      <c r="D18" s="74">
        <v>87.49</v>
      </c>
      <c r="E18" s="66">
        <f t="shared" si="1"/>
        <v>5.643104999999999</v>
      </c>
      <c r="F18" s="10">
        <v>4.991001</v>
      </c>
      <c r="G18" s="10">
        <v>1.074222</v>
      </c>
      <c r="H18" s="10">
        <f t="shared" si="2"/>
        <v>6.065223</v>
      </c>
      <c r="I18" s="66">
        <f>H18*1.1</f>
        <v>6.6717453</v>
      </c>
      <c r="J18" s="19">
        <f t="shared" si="0"/>
        <v>-1.028640300000001</v>
      </c>
      <c r="K18" s="10">
        <v>0.244905</v>
      </c>
      <c r="L18" s="8">
        <f t="shared" si="3"/>
        <v>0.2693955</v>
      </c>
      <c r="M18" s="117">
        <f aca="true" t="shared" si="4" ref="M18:M30">E18-I18-L18</f>
        <v>-1.298035800000001</v>
      </c>
    </row>
    <row r="19" spans="1:13" s="135" customFormat="1" ht="12.75">
      <c r="A19" s="146">
        <v>4</v>
      </c>
      <c r="B19" s="148" t="s">
        <v>17</v>
      </c>
      <c r="C19" s="66">
        <v>15.48</v>
      </c>
      <c r="D19" s="74">
        <v>89.15</v>
      </c>
      <c r="E19" s="66">
        <f t="shared" si="1"/>
        <v>13.80042</v>
      </c>
      <c r="F19" s="10">
        <v>12.019724</v>
      </c>
      <c r="G19" s="10">
        <v>2.401064</v>
      </c>
      <c r="H19" s="10">
        <f t="shared" si="2"/>
        <v>14.420788</v>
      </c>
      <c r="I19" s="66">
        <f>H19*1.1</f>
        <v>15.8628668</v>
      </c>
      <c r="J19" s="19">
        <f t="shared" si="0"/>
        <v>-2.0624468</v>
      </c>
      <c r="K19" s="10">
        <v>0.183</v>
      </c>
      <c r="L19" s="8">
        <f t="shared" si="3"/>
        <v>0.2013</v>
      </c>
      <c r="M19" s="117">
        <f t="shared" si="4"/>
        <v>-2.2637468</v>
      </c>
    </row>
    <row r="20" spans="1:13" s="135" customFormat="1" ht="12.75">
      <c r="A20" s="146">
        <v>5</v>
      </c>
      <c r="B20" s="148" t="s">
        <v>18</v>
      </c>
      <c r="C20" s="66">
        <v>17.025</v>
      </c>
      <c r="D20" s="74">
        <v>88.41</v>
      </c>
      <c r="E20" s="66">
        <f t="shared" si="1"/>
        <v>15.051802499999999</v>
      </c>
      <c r="F20" s="10">
        <v>12.987757</v>
      </c>
      <c r="G20" s="10">
        <v>2.486532</v>
      </c>
      <c r="H20" s="10">
        <f t="shared" si="2"/>
        <v>15.474289</v>
      </c>
      <c r="I20" s="66">
        <f>H20*1.1</f>
        <v>17.021717900000002</v>
      </c>
      <c r="J20" s="19">
        <f t="shared" si="0"/>
        <v>-1.9699154000000032</v>
      </c>
      <c r="K20" s="10">
        <v>3.031219</v>
      </c>
      <c r="L20" s="8">
        <f t="shared" si="3"/>
        <v>3.3343409000000004</v>
      </c>
      <c r="M20" s="117">
        <f t="shared" si="4"/>
        <v>-5.304256300000004</v>
      </c>
    </row>
    <row r="21" spans="1:13" s="135" customFormat="1" ht="12.75">
      <c r="A21" s="146">
        <v>6</v>
      </c>
      <c r="B21" s="148" t="s">
        <v>19</v>
      </c>
      <c r="C21" s="66">
        <v>7.74</v>
      </c>
      <c r="D21" s="74">
        <v>88.35</v>
      </c>
      <c r="E21" s="66">
        <f t="shared" si="1"/>
        <v>6.83829</v>
      </c>
      <c r="F21" s="10">
        <v>5.058893</v>
      </c>
      <c r="G21" s="10">
        <v>1.396242</v>
      </c>
      <c r="H21" s="10">
        <f t="shared" si="2"/>
        <v>6.455135</v>
      </c>
      <c r="I21" s="66">
        <f aca="true" t="shared" si="5" ref="I21:I32">H21*1.1</f>
        <v>7.100648500000001</v>
      </c>
      <c r="J21" s="19">
        <f t="shared" si="0"/>
        <v>-0.26235850000000127</v>
      </c>
      <c r="K21" s="10">
        <v>0</v>
      </c>
      <c r="L21" s="8">
        <f t="shared" si="3"/>
        <v>0</v>
      </c>
      <c r="M21" s="117">
        <f t="shared" si="4"/>
        <v>-0.26235850000000127</v>
      </c>
    </row>
    <row r="22" spans="1:13" s="133" customFormat="1" ht="12.75">
      <c r="A22" s="146">
        <v>7</v>
      </c>
      <c r="B22" s="148" t="s">
        <v>20</v>
      </c>
      <c r="C22" s="66">
        <v>3.354</v>
      </c>
      <c r="D22" s="74">
        <v>88.03</v>
      </c>
      <c r="E22" s="66">
        <f t="shared" si="1"/>
        <v>2.9525262000000003</v>
      </c>
      <c r="F22" s="10">
        <v>1.851889</v>
      </c>
      <c r="G22" s="17">
        <v>0</v>
      </c>
      <c r="H22" s="10">
        <f t="shared" si="2"/>
        <v>1.851889</v>
      </c>
      <c r="I22" s="66">
        <f t="shared" si="5"/>
        <v>2.0370779</v>
      </c>
      <c r="J22" s="46">
        <f t="shared" si="0"/>
        <v>0.9154483000000004</v>
      </c>
      <c r="K22" s="10">
        <v>0.822262</v>
      </c>
      <c r="L22" s="8">
        <f t="shared" si="3"/>
        <v>0.9044882000000001</v>
      </c>
      <c r="M22" s="66">
        <f t="shared" si="4"/>
        <v>0.010960100000000361</v>
      </c>
    </row>
    <row r="23" spans="1:13" s="135" customFormat="1" ht="12.75">
      <c r="A23" s="146">
        <v>8</v>
      </c>
      <c r="B23" s="148" t="s">
        <v>21</v>
      </c>
      <c r="C23" s="66">
        <v>7.74</v>
      </c>
      <c r="D23" s="74">
        <v>88.54</v>
      </c>
      <c r="E23" s="66">
        <f t="shared" si="1"/>
        <v>6.852996000000001</v>
      </c>
      <c r="F23" s="10">
        <v>6.543975</v>
      </c>
      <c r="G23" s="10">
        <v>1.339898</v>
      </c>
      <c r="H23" s="10">
        <f t="shared" si="2"/>
        <v>7.8838729999999995</v>
      </c>
      <c r="I23" s="66">
        <f t="shared" si="5"/>
        <v>8.6722603</v>
      </c>
      <c r="J23" s="19">
        <f t="shared" si="0"/>
        <v>-1.8192642999999986</v>
      </c>
      <c r="K23" s="10">
        <v>0.163358</v>
      </c>
      <c r="L23" s="8">
        <f t="shared" si="3"/>
        <v>0.17969380000000001</v>
      </c>
      <c r="M23" s="117">
        <f t="shared" si="4"/>
        <v>-1.9989580999999985</v>
      </c>
    </row>
    <row r="24" spans="1:13" s="135" customFormat="1" ht="12.75">
      <c r="A24" s="146">
        <v>9</v>
      </c>
      <c r="B24" s="149" t="s">
        <v>22</v>
      </c>
      <c r="C24" s="127"/>
      <c r="D24" s="126"/>
      <c r="E24" s="127"/>
      <c r="F24" s="10">
        <v>4.153471</v>
      </c>
      <c r="G24" s="17">
        <v>2.64632</v>
      </c>
      <c r="H24" s="10">
        <f t="shared" si="2"/>
        <v>6.799790999999999</v>
      </c>
      <c r="I24" s="66">
        <f t="shared" si="5"/>
        <v>7.4797701</v>
      </c>
      <c r="J24" s="150"/>
      <c r="K24" s="10">
        <v>0.36736</v>
      </c>
      <c r="L24" s="8">
        <f t="shared" si="3"/>
        <v>0.40409600000000007</v>
      </c>
      <c r="M24" s="127"/>
    </row>
    <row r="25" spans="1:13" s="135" customFormat="1" ht="12.75">
      <c r="A25" s="146">
        <v>10</v>
      </c>
      <c r="B25" s="148" t="s">
        <v>24</v>
      </c>
      <c r="C25" s="66">
        <v>3.354</v>
      </c>
      <c r="D25" s="75">
        <v>88.06</v>
      </c>
      <c r="E25" s="66">
        <f t="shared" si="1"/>
        <v>2.9535324000000003</v>
      </c>
      <c r="F25" s="10">
        <v>1.975606</v>
      </c>
      <c r="G25" s="10">
        <v>0</v>
      </c>
      <c r="H25" s="10">
        <f t="shared" si="2"/>
        <v>1.975606</v>
      </c>
      <c r="I25" s="66">
        <f t="shared" si="5"/>
        <v>2.1731666</v>
      </c>
      <c r="J25" s="46">
        <f t="shared" si="0"/>
        <v>0.7803658000000002</v>
      </c>
      <c r="K25" s="10">
        <v>0.714343</v>
      </c>
      <c r="L25" s="8">
        <f t="shared" si="3"/>
        <v>0.7857773</v>
      </c>
      <c r="M25" s="117">
        <f t="shared" si="4"/>
        <v>-0.0054114999999997915</v>
      </c>
    </row>
    <row r="26" spans="1:13" s="135" customFormat="1" ht="12.75">
      <c r="A26" s="146">
        <v>11</v>
      </c>
      <c r="B26" s="148" t="s">
        <v>25</v>
      </c>
      <c r="C26" s="66">
        <v>4.128</v>
      </c>
      <c r="D26" s="73">
        <v>88</v>
      </c>
      <c r="E26" s="66">
        <f t="shared" si="1"/>
        <v>3.6326400000000003</v>
      </c>
      <c r="F26" s="10">
        <v>1.81307</v>
      </c>
      <c r="G26" s="17">
        <v>0.243978</v>
      </c>
      <c r="H26" s="10">
        <f t="shared" si="2"/>
        <v>2.057048</v>
      </c>
      <c r="I26" s="66">
        <f t="shared" si="5"/>
        <v>2.2627528000000003</v>
      </c>
      <c r="J26" s="46">
        <f t="shared" si="0"/>
        <v>1.3698872</v>
      </c>
      <c r="K26" s="10">
        <v>1.043474</v>
      </c>
      <c r="L26" s="8">
        <f t="shared" si="3"/>
        <v>1.1478214000000002</v>
      </c>
      <c r="M26" s="66">
        <f t="shared" si="4"/>
        <v>0.22206579999999976</v>
      </c>
    </row>
    <row r="27" spans="1:13" s="135" customFormat="1" ht="12.75">
      <c r="A27" s="146">
        <v>12</v>
      </c>
      <c r="B27" s="148" t="s">
        <v>26</v>
      </c>
      <c r="C27" s="66">
        <v>7.14</v>
      </c>
      <c r="D27" s="74">
        <v>88.99</v>
      </c>
      <c r="E27" s="66">
        <f t="shared" si="1"/>
        <v>6.353885999999999</v>
      </c>
      <c r="F27" s="10">
        <v>3.706355</v>
      </c>
      <c r="G27" s="10">
        <v>1.004594</v>
      </c>
      <c r="H27" s="10">
        <f t="shared" si="2"/>
        <v>4.710948999999999</v>
      </c>
      <c r="I27" s="66">
        <f t="shared" si="5"/>
        <v>5.1820439</v>
      </c>
      <c r="J27" s="46">
        <f t="shared" si="0"/>
        <v>1.1718420999999992</v>
      </c>
      <c r="K27" s="10">
        <v>2.224335</v>
      </c>
      <c r="L27" s="8">
        <f t="shared" si="3"/>
        <v>2.4467685</v>
      </c>
      <c r="M27" s="117">
        <f t="shared" si="4"/>
        <v>-1.274926400000001</v>
      </c>
    </row>
    <row r="28" spans="1:13" s="135" customFormat="1" ht="12.75">
      <c r="A28" s="146">
        <v>13</v>
      </c>
      <c r="B28" s="148" t="s">
        <v>27</v>
      </c>
      <c r="C28" s="66">
        <v>3.87</v>
      </c>
      <c r="D28" s="74">
        <v>88.47</v>
      </c>
      <c r="E28" s="66">
        <f t="shared" si="1"/>
        <v>3.4237889999999997</v>
      </c>
      <c r="F28" s="10">
        <v>2.350164</v>
      </c>
      <c r="G28" s="10">
        <v>0.606482</v>
      </c>
      <c r="H28" s="10">
        <f t="shared" si="2"/>
        <v>2.956646</v>
      </c>
      <c r="I28" s="66">
        <f t="shared" si="5"/>
        <v>3.2523106000000004</v>
      </c>
      <c r="J28" s="46">
        <f t="shared" si="0"/>
        <v>0.17147839999999936</v>
      </c>
      <c r="K28" s="10">
        <v>0.079135</v>
      </c>
      <c r="L28" s="8">
        <f t="shared" si="3"/>
        <v>0.0870485</v>
      </c>
      <c r="M28" s="66">
        <f t="shared" si="4"/>
        <v>0.08442989999999936</v>
      </c>
    </row>
    <row r="29" spans="1:13" s="135" customFormat="1" ht="12.75">
      <c r="A29" s="146">
        <v>14</v>
      </c>
      <c r="B29" s="148" t="s">
        <v>28</v>
      </c>
      <c r="C29" s="66">
        <v>0.688</v>
      </c>
      <c r="D29" s="74">
        <v>87.75</v>
      </c>
      <c r="E29" s="66">
        <f t="shared" si="1"/>
        <v>0.6037199999999999</v>
      </c>
      <c r="F29" s="10">
        <v>0.479896</v>
      </c>
      <c r="G29" s="10">
        <v>0.14616</v>
      </c>
      <c r="H29" s="10">
        <f t="shared" si="2"/>
        <v>0.626056</v>
      </c>
      <c r="I29" s="66">
        <f t="shared" si="5"/>
        <v>0.6886616</v>
      </c>
      <c r="J29" s="19">
        <f t="shared" si="0"/>
        <v>-0.08494160000000006</v>
      </c>
      <c r="K29" s="10">
        <v>0</v>
      </c>
      <c r="L29" s="8">
        <f t="shared" si="3"/>
        <v>0</v>
      </c>
      <c r="M29" s="117">
        <f t="shared" si="4"/>
        <v>-0.08494160000000006</v>
      </c>
    </row>
    <row r="30" spans="1:13" s="135" customFormat="1" ht="12.75">
      <c r="A30" s="146">
        <v>15</v>
      </c>
      <c r="B30" s="148" t="s">
        <v>29</v>
      </c>
      <c r="C30" s="66">
        <v>0.2322</v>
      </c>
      <c r="D30" s="74">
        <v>88.24</v>
      </c>
      <c r="E30" s="66">
        <f t="shared" si="1"/>
        <v>0.20489327999999996</v>
      </c>
      <c r="F30" s="10">
        <v>0.161777</v>
      </c>
      <c r="G30" s="17">
        <v>0</v>
      </c>
      <c r="H30" s="10">
        <f t="shared" si="2"/>
        <v>0.161777</v>
      </c>
      <c r="I30" s="66">
        <f t="shared" si="5"/>
        <v>0.17795470000000002</v>
      </c>
      <c r="J30" s="46">
        <f t="shared" si="0"/>
        <v>0.026938579999999934</v>
      </c>
      <c r="K30" s="10">
        <v>0</v>
      </c>
      <c r="L30" s="8">
        <f t="shared" si="3"/>
        <v>0</v>
      </c>
      <c r="M30" s="66">
        <f t="shared" si="4"/>
        <v>0.026938579999999934</v>
      </c>
    </row>
    <row r="31" spans="1:13" s="135" customFormat="1" ht="12.75">
      <c r="A31" s="146">
        <v>16</v>
      </c>
      <c r="B31" s="148" t="s">
        <v>30</v>
      </c>
      <c r="C31" s="66">
        <v>0.183</v>
      </c>
      <c r="D31" s="75">
        <v>86.43</v>
      </c>
      <c r="E31" s="66">
        <f t="shared" si="1"/>
        <v>0.1581669</v>
      </c>
      <c r="F31" s="10">
        <v>0.165426</v>
      </c>
      <c r="G31" s="10">
        <v>0</v>
      </c>
      <c r="H31" s="10">
        <f t="shared" si="2"/>
        <v>0.165426</v>
      </c>
      <c r="I31" s="66">
        <f t="shared" si="5"/>
        <v>0.1819686</v>
      </c>
      <c r="J31" s="19">
        <f t="shared" si="0"/>
        <v>-0.02380170000000001</v>
      </c>
      <c r="K31" s="10">
        <v>0</v>
      </c>
      <c r="L31" s="8">
        <f t="shared" si="3"/>
        <v>0</v>
      </c>
      <c r="M31" s="151">
        <f>E31-I31-L31</f>
        <v>-0.02380170000000001</v>
      </c>
    </row>
    <row r="32" spans="1:13" s="135" customFormat="1" ht="12.75">
      <c r="A32" s="152">
        <v>17</v>
      </c>
      <c r="B32" s="153" t="s">
        <v>61</v>
      </c>
      <c r="C32" s="67">
        <v>2.76</v>
      </c>
      <c r="D32" s="73">
        <v>89.93</v>
      </c>
      <c r="E32" s="67">
        <f t="shared" si="1"/>
        <v>2.482068</v>
      </c>
      <c r="F32" s="17">
        <v>1.66806</v>
      </c>
      <c r="G32" s="17">
        <v>0</v>
      </c>
      <c r="H32" s="17">
        <f t="shared" si="2"/>
        <v>1.66806</v>
      </c>
      <c r="I32" s="67">
        <f t="shared" si="5"/>
        <v>1.8348660000000003</v>
      </c>
      <c r="J32" s="112">
        <f t="shared" si="0"/>
        <v>0.6472019999999996</v>
      </c>
      <c r="K32" s="10">
        <v>0.42689299999999997</v>
      </c>
      <c r="L32" s="8">
        <f t="shared" si="3"/>
        <v>0.4695823</v>
      </c>
      <c r="M32" s="155">
        <f>E32-I32-L32</f>
        <v>0.1776196999999996</v>
      </c>
    </row>
    <row r="33" spans="1:13" ht="27" customHeight="1">
      <c r="A33" s="250" t="s">
        <v>96</v>
      </c>
      <c r="B33" s="251"/>
      <c r="C33" s="68">
        <f>SUM(C16:C32)-C24</f>
        <v>85.80220000000003</v>
      </c>
      <c r="D33" s="120"/>
      <c r="E33" s="68">
        <f aca="true" t="shared" si="6" ref="E33:L33">SUM(E16:E32)-E24</f>
        <v>75.95409287999999</v>
      </c>
      <c r="F33" s="68">
        <f t="shared" si="6"/>
        <v>60.39876199999999</v>
      </c>
      <c r="G33" s="68">
        <f t="shared" si="6"/>
        <v>11.395548</v>
      </c>
      <c r="H33" s="68">
        <f t="shared" si="6"/>
        <v>71.79431</v>
      </c>
      <c r="I33" s="68">
        <f t="shared" si="6"/>
        <v>78.97374100000002</v>
      </c>
      <c r="J33" s="113">
        <f>SUM(J16:J32)-J24</f>
        <v>-3.0196481200000056</v>
      </c>
      <c r="K33" s="121">
        <f t="shared" si="6"/>
        <v>8.932924</v>
      </c>
      <c r="L33" s="68">
        <f t="shared" si="6"/>
        <v>9.826216400000002</v>
      </c>
      <c r="M33" s="122">
        <f>SUM(M16:M32)-M24</f>
        <v>-12.845864520000005</v>
      </c>
    </row>
    <row r="34" spans="1:13" ht="39" customHeight="1">
      <c r="A34" s="250" t="s">
        <v>95</v>
      </c>
      <c r="B34" s="251"/>
      <c r="C34" s="230"/>
      <c r="D34" s="231"/>
      <c r="E34" s="230"/>
      <c r="F34" s="68">
        <f>SUM(F16:F32)</f>
        <v>64.55223299999999</v>
      </c>
      <c r="G34" s="68">
        <f>SUM(G16:G32)</f>
        <v>14.041868</v>
      </c>
      <c r="H34" s="68">
        <f>SUM(H16:H32)</f>
        <v>78.594101</v>
      </c>
      <c r="I34" s="68">
        <f>SUM(I16:I32)</f>
        <v>86.45351110000001</v>
      </c>
      <c r="J34" s="68"/>
      <c r="K34" s="68">
        <f>SUM(K16:K32)</f>
        <v>9.300284</v>
      </c>
      <c r="L34" s="68">
        <f>SUM(L16:L32)</f>
        <v>10.230312400000003</v>
      </c>
      <c r="M34" s="232"/>
    </row>
    <row r="35" spans="1:13" ht="8.25" customHeight="1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9"/>
    </row>
    <row r="36" spans="1:13" ht="12.75">
      <c r="A36" s="270" t="s">
        <v>38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2"/>
    </row>
    <row r="37" spans="1:13" ht="4.5" customHeight="1">
      <c r="A37" s="273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5"/>
    </row>
    <row r="38" spans="1:14" s="135" customFormat="1" ht="12.75">
      <c r="A38" s="145">
        <v>18</v>
      </c>
      <c r="B38" s="147" t="s">
        <v>31</v>
      </c>
      <c r="C38" s="8">
        <v>2.28</v>
      </c>
      <c r="D38" s="73">
        <v>44.44</v>
      </c>
      <c r="E38" s="8">
        <f aca="true" t="shared" si="7" ref="E38:E47">C38*D38/100</f>
        <v>1.013232</v>
      </c>
      <c r="F38" s="43">
        <v>1.402063</v>
      </c>
      <c r="G38" s="17"/>
      <c r="H38" s="43">
        <f aca="true" t="shared" si="8" ref="H38:H48">SUM(F38:G38)</f>
        <v>1.402063</v>
      </c>
      <c r="I38" s="43">
        <f aca="true" t="shared" si="9" ref="I38:I57">H38*1.1</f>
        <v>1.5422693000000003</v>
      </c>
      <c r="J38" s="59">
        <f aca="true" t="shared" si="10" ref="J38:J47">E38-I38</f>
        <v>-0.5290373000000004</v>
      </c>
      <c r="K38" s="43">
        <v>0</v>
      </c>
      <c r="L38" s="66">
        <f aca="true" t="shared" si="11" ref="L38:L48">K38*1.1</f>
        <v>0</v>
      </c>
      <c r="M38" s="156">
        <f>E38-I38-L38</f>
        <v>-0.5290373000000004</v>
      </c>
      <c r="N38" s="136"/>
    </row>
    <row r="39" spans="1:13" s="135" customFormat="1" ht="12.75">
      <c r="A39" s="146">
        <v>19</v>
      </c>
      <c r="B39" s="148" t="s">
        <v>32</v>
      </c>
      <c r="C39" s="66">
        <v>1.02</v>
      </c>
      <c r="D39" s="74">
        <v>43.03</v>
      </c>
      <c r="E39" s="66">
        <f t="shared" si="7"/>
        <v>0.438906</v>
      </c>
      <c r="F39" s="10">
        <v>0.331882</v>
      </c>
      <c r="G39" s="76"/>
      <c r="H39" s="10">
        <f t="shared" si="8"/>
        <v>0.331882</v>
      </c>
      <c r="I39" s="10">
        <f t="shared" si="9"/>
        <v>0.36507020000000007</v>
      </c>
      <c r="J39" s="21">
        <f t="shared" si="10"/>
        <v>0.07383579999999995</v>
      </c>
      <c r="K39" s="17">
        <v>0</v>
      </c>
      <c r="L39" s="66">
        <f t="shared" si="11"/>
        <v>0</v>
      </c>
      <c r="M39" s="10">
        <f aca="true" t="shared" si="12" ref="M39:M44">E39-I39-L39</f>
        <v>0.07383579999999995</v>
      </c>
    </row>
    <row r="40" spans="1:13" s="135" customFormat="1" ht="12.75">
      <c r="A40" s="146">
        <v>20</v>
      </c>
      <c r="B40" s="148" t="s">
        <v>33</v>
      </c>
      <c r="C40" s="66">
        <v>1.379</v>
      </c>
      <c r="D40" s="74">
        <v>42.61</v>
      </c>
      <c r="E40" s="66">
        <f t="shared" si="7"/>
        <v>0.5875919</v>
      </c>
      <c r="F40" s="10">
        <v>0.443446</v>
      </c>
      <c r="G40" s="76"/>
      <c r="H40" s="10">
        <f t="shared" si="8"/>
        <v>0.443446</v>
      </c>
      <c r="I40" s="10">
        <f t="shared" si="9"/>
        <v>0.4877906000000001</v>
      </c>
      <c r="J40" s="21">
        <f t="shared" si="10"/>
        <v>0.09980129999999987</v>
      </c>
      <c r="K40" s="76">
        <v>1.087154</v>
      </c>
      <c r="L40" s="66">
        <f>K40*1.1</f>
        <v>1.1958694</v>
      </c>
      <c r="M40" s="157">
        <f>E40-I40-L40</f>
        <v>-1.0960681</v>
      </c>
    </row>
    <row r="41" spans="1:13" s="135" customFormat="1" ht="12.75">
      <c r="A41" s="146">
        <v>21</v>
      </c>
      <c r="B41" s="148" t="s">
        <v>34</v>
      </c>
      <c r="C41" s="66">
        <v>1.26</v>
      </c>
      <c r="D41" s="74">
        <v>42.19</v>
      </c>
      <c r="E41" s="66">
        <f t="shared" si="7"/>
        <v>0.531594</v>
      </c>
      <c r="F41" s="10">
        <v>0.210877</v>
      </c>
      <c r="G41" s="10"/>
      <c r="H41" s="10">
        <f t="shared" si="8"/>
        <v>0.210877</v>
      </c>
      <c r="I41" s="10">
        <f t="shared" si="9"/>
        <v>0.23196470000000002</v>
      </c>
      <c r="J41" s="21">
        <f t="shared" si="10"/>
        <v>0.2996293</v>
      </c>
      <c r="K41" s="76">
        <v>0.005195</v>
      </c>
      <c r="L41" s="66">
        <f t="shared" si="11"/>
        <v>0.005714500000000001</v>
      </c>
      <c r="M41" s="10">
        <f t="shared" si="12"/>
        <v>0.2939148</v>
      </c>
    </row>
    <row r="42" spans="1:13" s="135" customFormat="1" ht="12.75">
      <c r="A42" s="158">
        <v>22</v>
      </c>
      <c r="B42" s="148" t="s">
        <v>35</v>
      </c>
      <c r="C42" s="66">
        <v>1.095</v>
      </c>
      <c r="D42" s="74">
        <v>43.78</v>
      </c>
      <c r="E42" s="66">
        <f t="shared" si="7"/>
        <v>0.479391</v>
      </c>
      <c r="F42" s="10">
        <v>0.209105</v>
      </c>
      <c r="G42" s="10"/>
      <c r="H42" s="10">
        <f t="shared" si="8"/>
        <v>0.209105</v>
      </c>
      <c r="I42" s="10">
        <f t="shared" si="9"/>
        <v>0.23001550000000004</v>
      </c>
      <c r="J42" s="21">
        <f t="shared" si="10"/>
        <v>0.24937549999999997</v>
      </c>
      <c r="K42" s="76">
        <v>0</v>
      </c>
      <c r="L42" s="66">
        <f t="shared" si="11"/>
        <v>0</v>
      </c>
      <c r="M42" s="10">
        <f t="shared" si="12"/>
        <v>0.24937549999999997</v>
      </c>
    </row>
    <row r="43" spans="1:13" s="135" customFormat="1" ht="12.75">
      <c r="A43" s="158">
        <v>23</v>
      </c>
      <c r="B43" s="148" t="s">
        <v>36</v>
      </c>
      <c r="C43" s="66">
        <v>0.61</v>
      </c>
      <c r="D43" s="74">
        <v>47.41</v>
      </c>
      <c r="E43" s="66">
        <f t="shared" si="7"/>
        <v>0.289201</v>
      </c>
      <c r="F43" s="76">
        <v>0.123941</v>
      </c>
      <c r="G43" s="10"/>
      <c r="H43" s="10">
        <f>SUM(F43:G43)</f>
        <v>0.123941</v>
      </c>
      <c r="I43" s="10">
        <f t="shared" si="9"/>
        <v>0.13633510000000001</v>
      </c>
      <c r="J43" s="21">
        <f t="shared" si="10"/>
        <v>0.15286589999999997</v>
      </c>
      <c r="K43" s="76">
        <v>0</v>
      </c>
      <c r="L43" s="66">
        <f t="shared" si="11"/>
        <v>0</v>
      </c>
      <c r="M43" s="10">
        <f t="shared" si="12"/>
        <v>0.15286589999999997</v>
      </c>
    </row>
    <row r="44" spans="1:13" s="135" customFormat="1" ht="12.75">
      <c r="A44" s="158">
        <v>24</v>
      </c>
      <c r="B44" s="148" t="s">
        <v>37</v>
      </c>
      <c r="C44" s="66">
        <v>2</v>
      </c>
      <c r="D44" s="75">
        <v>51</v>
      </c>
      <c r="E44" s="66">
        <f t="shared" si="7"/>
        <v>1.02</v>
      </c>
      <c r="F44" s="10">
        <v>0.603581</v>
      </c>
      <c r="G44" s="10"/>
      <c r="H44" s="10">
        <f t="shared" si="8"/>
        <v>0.603581</v>
      </c>
      <c r="I44" s="10">
        <f t="shared" si="9"/>
        <v>0.6639391000000001</v>
      </c>
      <c r="J44" s="21">
        <f t="shared" si="10"/>
        <v>0.3560608999999999</v>
      </c>
      <c r="K44" s="76">
        <v>0</v>
      </c>
      <c r="L44" s="66">
        <f t="shared" si="11"/>
        <v>0</v>
      </c>
      <c r="M44" s="10">
        <f t="shared" si="12"/>
        <v>0.3560608999999999</v>
      </c>
    </row>
    <row r="45" spans="1:13" s="135" customFormat="1" ht="15" customHeight="1">
      <c r="A45" s="146">
        <v>25</v>
      </c>
      <c r="B45" s="148" t="s">
        <v>23</v>
      </c>
      <c r="C45" s="66">
        <v>1.12</v>
      </c>
      <c r="D45" s="75">
        <v>46.1</v>
      </c>
      <c r="E45" s="66">
        <f t="shared" si="7"/>
        <v>0.51632</v>
      </c>
      <c r="F45" s="10">
        <v>0.31692</v>
      </c>
      <c r="G45" s="10"/>
      <c r="H45" s="10">
        <f t="shared" si="8"/>
        <v>0.31692</v>
      </c>
      <c r="I45" s="10">
        <f t="shared" si="9"/>
        <v>0.34861200000000003</v>
      </c>
      <c r="J45" s="21">
        <f t="shared" si="10"/>
        <v>0.16770799999999997</v>
      </c>
      <c r="K45" s="10">
        <v>0</v>
      </c>
      <c r="L45" s="66">
        <f t="shared" si="11"/>
        <v>0</v>
      </c>
      <c r="M45" s="10">
        <f>E45-I45-L45</f>
        <v>0.16770799999999997</v>
      </c>
    </row>
    <row r="46" spans="1:13" s="135" customFormat="1" ht="24.75" customHeight="1">
      <c r="A46" s="159">
        <v>26</v>
      </c>
      <c r="B46" s="160" t="s">
        <v>76</v>
      </c>
      <c r="C46" s="161">
        <v>1.94</v>
      </c>
      <c r="D46" s="162">
        <v>57.38</v>
      </c>
      <c r="E46" s="161">
        <f t="shared" si="7"/>
        <v>1.113172</v>
      </c>
      <c r="F46" s="163">
        <v>0.309196</v>
      </c>
      <c r="G46" s="163"/>
      <c r="H46" s="137">
        <f t="shared" si="8"/>
        <v>0.309196</v>
      </c>
      <c r="I46" s="137">
        <f t="shared" si="9"/>
        <v>0.3401156000000001</v>
      </c>
      <c r="J46" s="164">
        <f t="shared" si="10"/>
        <v>0.7730564</v>
      </c>
      <c r="K46" s="10">
        <v>0.773</v>
      </c>
      <c r="L46" s="66">
        <f t="shared" si="11"/>
        <v>0.8503000000000001</v>
      </c>
      <c r="M46" s="244">
        <f>E46-I46-L46</f>
        <v>-0.07724360000000008</v>
      </c>
    </row>
    <row r="47" spans="1:13" s="135" customFormat="1" ht="25.5">
      <c r="A47" s="159">
        <v>27</v>
      </c>
      <c r="B47" s="160" t="s">
        <v>77</v>
      </c>
      <c r="C47" s="161">
        <v>4.14</v>
      </c>
      <c r="D47" s="162">
        <v>60.37</v>
      </c>
      <c r="E47" s="161">
        <f t="shared" si="7"/>
        <v>2.4993179999999997</v>
      </c>
      <c r="F47" s="163">
        <v>0.979165</v>
      </c>
      <c r="G47" s="163"/>
      <c r="H47" s="10">
        <f t="shared" si="8"/>
        <v>0.979165</v>
      </c>
      <c r="I47" s="10">
        <f>H47*1.1</f>
        <v>1.0770815</v>
      </c>
      <c r="J47" s="21">
        <f t="shared" si="10"/>
        <v>1.4222364999999997</v>
      </c>
      <c r="K47" s="10">
        <v>0</v>
      </c>
      <c r="L47" s="66">
        <f t="shared" si="11"/>
        <v>0</v>
      </c>
      <c r="M47" s="10">
        <f>E47-I47-L47</f>
        <v>1.4222364999999997</v>
      </c>
    </row>
    <row r="48" spans="1:13" s="135" customFormat="1" ht="12.75">
      <c r="A48" s="165">
        <v>28</v>
      </c>
      <c r="B48" s="166" t="s">
        <v>80</v>
      </c>
      <c r="C48" s="167"/>
      <c r="D48" s="168"/>
      <c r="E48" s="169"/>
      <c r="F48" s="124">
        <v>4.160129</v>
      </c>
      <c r="G48" s="124"/>
      <c r="H48" s="17">
        <f t="shared" si="8"/>
        <v>4.160129</v>
      </c>
      <c r="I48" s="17">
        <f>H48*1.1</f>
        <v>4.5761419000000005</v>
      </c>
      <c r="J48" s="170"/>
      <c r="K48" s="90">
        <v>0</v>
      </c>
      <c r="L48" s="67">
        <f t="shared" si="11"/>
        <v>0</v>
      </c>
      <c r="M48" s="171"/>
    </row>
    <row r="49" spans="1:13" ht="27" customHeight="1">
      <c r="A49" s="248" t="s">
        <v>97</v>
      </c>
      <c r="B49" s="249"/>
      <c r="C49" s="12">
        <f>SUM(C38:C47)</f>
        <v>16.843999999999998</v>
      </c>
      <c r="D49" s="11"/>
      <c r="E49" s="12">
        <f aca="true" t="shared" si="13" ref="E49:M49">SUM(E38:E47)</f>
        <v>8.488725899999999</v>
      </c>
      <c r="F49" s="12">
        <f>SUM(F38:F48)-F48</f>
        <v>4.930176</v>
      </c>
      <c r="G49" s="12">
        <f t="shared" si="13"/>
        <v>0</v>
      </c>
      <c r="H49" s="12">
        <f>SUM(H38:H48)-H48</f>
        <v>4.930176</v>
      </c>
      <c r="I49" s="12">
        <f>SUM(I38:I48)-I48</f>
        <v>5.4231936</v>
      </c>
      <c r="J49" s="23">
        <f t="shared" si="13"/>
        <v>3.065532299999999</v>
      </c>
      <c r="K49" s="23">
        <f>SUM(K38:K48)-K48</f>
        <v>1.8653490000000001</v>
      </c>
      <c r="L49" s="12">
        <f>SUM(L38:L48)-L48</f>
        <v>2.0518839</v>
      </c>
      <c r="M49" s="12">
        <f t="shared" si="13"/>
        <v>1.0136483999999988</v>
      </c>
    </row>
    <row r="50" spans="1:13" ht="39.75" customHeight="1">
      <c r="A50" s="250" t="s">
        <v>98</v>
      </c>
      <c r="B50" s="251"/>
      <c r="C50" s="142"/>
      <c r="D50" s="233"/>
      <c r="E50" s="142"/>
      <c r="F50" s="12">
        <f>SUM(F38:F48)</f>
        <v>9.090305</v>
      </c>
      <c r="G50" s="12">
        <f aca="true" t="shared" si="14" ref="G50:L50">SUM(G38:G48)</f>
        <v>0</v>
      </c>
      <c r="H50" s="12">
        <f t="shared" si="14"/>
        <v>9.090305</v>
      </c>
      <c r="I50" s="12">
        <f t="shared" si="14"/>
        <v>9.9993355</v>
      </c>
      <c r="J50" s="12"/>
      <c r="K50" s="12">
        <f t="shared" si="14"/>
        <v>1.8653490000000001</v>
      </c>
      <c r="L50" s="12">
        <f t="shared" si="14"/>
        <v>2.0518839</v>
      </c>
      <c r="M50" s="234"/>
    </row>
    <row r="51" spans="1:13" ht="9" customHeight="1">
      <c r="A51" s="252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4"/>
    </row>
    <row r="52" spans="1:13" s="135" customFormat="1" ht="35.25" customHeight="1">
      <c r="A52" s="77">
        <v>28</v>
      </c>
      <c r="B52" s="78" t="s">
        <v>52</v>
      </c>
      <c r="C52" s="79">
        <v>43</v>
      </c>
      <c r="D52" s="80" t="s">
        <v>56</v>
      </c>
      <c r="E52" s="40">
        <v>41.917</v>
      </c>
      <c r="F52" s="40">
        <f>3.70407+4.961299</f>
        <v>8.665369</v>
      </c>
      <c r="G52" s="40"/>
      <c r="H52" s="40">
        <f aca="true" t="shared" si="15" ref="H52:H57">SUM(F52:G52)</f>
        <v>8.665369</v>
      </c>
      <c r="I52" s="40">
        <f t="shared" si="9"/>
        <v>9.531905900000002</v>
      </c>
      <c r="J52" s="40"/>
      <c r="K52" s="81">
        <v>1.88553</v>
      </c>
      <c r="L52" s="79">
        <f aca="true" t="shared" si="16" ref="L52:L57">K52*1.1</f>
        <v>2.074083</v>
      </c>
      <c r="M52" s="40"/>
    </row>
    <row r="53" spans="1:13" s="135" customFormat="1" ht="12.75">
      <c r="A53" s="82" t="s">
        <v>71</v>
      </c>
      <c r="B53" s="61" t="s">
        <v>47</v>
      </c>
      <c r="C53" s="83">
        <v>13.05</v>
      </c>
      <c r="D53" s="84">
        <v>70</v>
      </c>
      <c r="E53" s="10">
        <f>C53*D53/100</f>
        <v>9.135</v>
      </c>
      <c r="F53" s="85">
        <v>4.117202</v>
      </c>
      <c r="G53" s="86">
        <v>0.893364</v>
      </c>
      <c r="H53" s="85">
        <f t="shared" si="15"/>
        <v>5.010566</v>
      </c>
      <c r="I53" s="43">
        <f t="shared" si="9"/>
        <v>5.5116226</v>
      </c>
      <c r="J53" s="86">
        <f aca="true" t="shared" si="17" ref="J53:J58">E53-I53</f>
        <v>3.6233774</v>
      </c>
      <c r="K53" s="241">
        <v>0.89428</v>
      </c>
      <c r="L53" s="8">
        <f t="shared" si="16"/>
        <v>0.983708</v>
      </c>
      <c r="M53" s="43">
        <f aca="true" t="shared" si="18" ref="M53:M59">E53-I53-L53</f>
        <v>2.6396694</v>
      </c>
    </row>
    <row r="54" spans="1:13" s="135" customFormat="1" ht="12.75">
      <c r="A54" s="88" t="s">
        <v>72</v>
      </c>
      <c r="B54" s="62" t="s">
        <v>48</v>
      </c>
      <c r="C54" s="66">
        <v>11.418</v>
      </c>
      <c r="D54" s="84">
        <v>70</v>
      </c>
      <c r="E54" s="10">
        <f>C54*D54/100</f>
        <v>7.9925999999999995</v>
      </c>
      <c r="F54" s="10">
        <v>5.905779</v>
      </c>
      <c r="G54" s="10">
        <v>1.032078</v>
      </c>
      <c r="H54" s="10">
        <f t="shared" si="15"/>
        <v>6.937857</v>
      </c>
      <c r="I54" s="10">
        <f t="shared" si="9"/>
        <v>7.6316427000000004</v>
      </c>
      <c r="J54" s="43">
        <f t="shared" si="17"/>
        <v>0.36095729999999904</v>
      </c>
      <c r="K54" s="191">
        <v>0</v>
      </c>
      <c r="L54" s="8">
        <f t="shared" si="16"/>
        <v>0</v>
      </c>
      <c r="M54" s="43">
        <f t="shared" si="18"/>
        <v>0.36095729999999904</v>
      </c>
    </row>
    <row r="55" spans="1:13" s="135" customFormat="1" ht="12.75">
      <c r="A55" s="89" t="s">
        <v>73</v>
      </c>
      <c r="B55" s="63" t="s">
        <v>49</v>
      </c>
      <c r="C55" s="66">
        <v>21.752</v>
      </c>
      <c r="D55" s="84">
        <v>70</v>
      </c>
      <c r="E55" s="10">
        <f>C55*D55/100</f>
        <v>15.226399999999998</v>
      </c>
      <c r="F55" s="17">
        <v>12.227006</v>
      </c>
      <c r="G55" s="17">
        <v>1.477862</v>
      </c>
      <c r="H55" s="10">
        <f t="shared" si="15"/>
        <v>13.704868</v>
      </c>
      <c r="I55" s="10">
        <f t="shared" si="9"/>
        <v>15.075354800000001</v>
      </c>
      <c r="J55" s="43">
        <f t="shared" si="17"/>
        <v>0.15104519999999688</v>
      </c>
      <c r="K55" s="205">
        <v>0.019573</v>
      </c>
      <c r="L55" s="66">
        <f t="shared" si="16"/>
        <v>0.021530300000000002</v>
      </c>
      <c r="M55" s="43">
        <f t="shared" si="18"/>
        <v>0.12951489999999688</v>
      </c>
    </row>
    <row r="56" spans="1:13" s="135" customFormat="1" ht="12.75">
      <c r="A56" s="89" t="s">
        <v>74</v>
      </c>
      <c r="B56" s="62" t="s">
        <v>50</v>
      </c>
      <c r="C56" s="66">
        <v>10.875</v>
      </c>
      <c r="D56" s="84">
        <v>70</v>
      </c>
      <c r="E56" s="10">
        <f>C56*D56/100</f>
        <v>7.6125</v>
      </c>
      <c r="F56" s="10">
        <v>0</v>
      </c>
      <c r="G56" s="76">
        <v>1.399562</v>
      </c>
      <c r="H56" s="17">
        <f t="shared" si="15"/>
        <v>1.399562</v>
      </c>
      <c r="I56" s="10">
        <f t="shared" si="9"/>
        <v>1.5395182</v>
      </c>
      <c r="J56" s="43">
        <f t="shared" si="17"/>
        <v>6.0729818</v>
      </c>
      <c r="K56" s="191">
        <v>0</v>
      </c>
      <c r="L56" s="66">
        <f t="shared" si="16"/>
        <v>0</v>
      </c>
      <c r="M56" s="43">
        <f t="shared" si="18"/>
        <v>6.0729818</v>
      </c>
    </row>
    <row r="57" spans="1:15" ht="12.75">
      <c r="A57" s="91" t="s">
        <v>75</v>
      </c>
      <c r="B57" s="63" t="s">
        <v>51</v>
      </c>
      <c r="C57" s="67">
        <v>10.331</v>
      </c>
      <c r="D57" s="84">
        <v>70</v>
      </c>
      <c r="E57" s="76">
        <f>C57*D57/100</f>
        <v>7.2317</v>
      </c>
      <c r="F57" s="17">
        <v>2.224245</v>
      </c>
      <c r="G57" s="76">
        <v>0.266182</v>
      </c>
      <c r="H57" s="76">
        <f t="shared" si="15"/>
        <v>2.490427</v>
      </c>
      <c r="I57" s="76">
        <f t="shared" si="9"/>
        <v>2.7394697000000003</v>
      </c>
      <c r="J57" s="76">
        <f t="shared" si="17"/>
        <v>4.492230299999999</v>
      </c>
      <c r="K57" s="90">
        <v>1.7274040000000002</v>
      </c>
      <c r="L57" s="64">
        <f t="shared" si="16"/>
        <v>1.9001444000000003</v>
      </c>
      <c r="M57" s="76">
        <f t="shared" si="18"/>
        <v>2.592085899999999</v>
      </c>
      <c r="O57" s="4"/>
    </row>
    <row r="58" spans="1:15" ht="12.75">
      <c r="A58" s="92"/>
      <c r="B58" s="77" t="s">
        <v>55</v>
      </c>
      <c r="C58" s="79">
        <f>SUM(C53:C57)</f>
        <v>67.426</v>
      </c>
      <c r="D58" s="79"/>
      <c r="E58" s="40">
        <f>SUM(E53:E57)</f>
        <v>47.1982</v>
      </c>
      <c r="F58" s="40">
        <f>SUM(F53:F57)</f>
        <v>24.474231999999997</v>
      </c>
      <c r="G58" s="40">
        <f>SUM(G53:G57)</f>
        <v>5.0690479999999996</v>
      </c>
      <c r="H58" s="40">
        <f>SUM(H53:H57)</f>
        <v>29.54328</v>
      </c>
      <c r="I58" s="40">
        <f>SUM(I53:I57)</f>
        <v>32.497608</v>
      </c>
      <c r="J58" s="40">
        <f t="shared" si="17"/>
        <v>14.700592</v>
      </c>
      <c r="K58" s="40">
        <f>SUM(K53:K57)</f>
        <v>2.641257</v>
      </c>
      <c r="L58" s="79">
        <f>SUM(L53:L57)</f>
        <v>2.9053827000000005</v>
      </c>
      <c r="M58" s="40">
        <f t="shared" si="18"/>
        <v>11.7952093</v>
      </c>
      <c r="N58" s="16"/>
      <c r="O58" s="4"/>
    </row>
    <row r="59" spans="1:13" ht="26.25" customHeight="1">
      <c r="A59" s="255" t="s">
        <v>53</v>
      </c>
      <c r="B59" s="256"/>
      <c r="C59" s="45">
        <f>C52</f>
        <v>43</v>
      </c>
      <c r="D59" s="93"/>
      <c r="E59" s="45">
        <f>E52</f>
        <v>41.917</v>
      </c>
      <c r="F59" s="45">
        <f>F52+F58</f>
        <v>33.139601</v>
      </c>
      <c r="G59" s="45">
        <f>G52+G58</f>
        <v>5.0690479999999996</v>
      </c>
      <c r="H59" s="45">
        <f>H52+H58</f>
        <v>38.208649</v>
      </c>
      <c r="I59" s="45">
        <f>I52+I58</f>
        <v>42.0295139</v>
      </c>
      <c r="J59" s="41">
        <f>E59-I59</f>
        <v>-0.11251389999999617</v>
      </c>
      <c r="K59" s="94">
        <f>K52+K58</f>
        <v>4.526787</v>
      </c>
      <c r="L59" s="45">
        <f>L52+L58</f>
        <v>4.9794657</v>
      </c>
      <c r="M59" s="42">
        <f t="shared" si="18"/>
        <v>-5.091979599999997</v>
      </c>
    </row>
    <row r="60" spans="1:13" ht="10.5" customHeight="1">
      <c r="A60" s="257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9"/>
    </row>
    <row r="61" spans="1:13" ht="15" customHeight="1">
      <c r="A61" s="260" t="s">
        <v>54</v>
      </c>
      <c r="B61" s="261"/>
      <c r="C61" s="138">
        <f>C33+C49+C59</f>
        <v>145.64620000000002</v>
      </c>
      <c r="D61" s="138"/>
      <c r="E61" s="138">
        <f aca="true" t="shared" si="19" ref="E61:M61">E33+E49+E59</f>
        <v>126.35981877999998</v>
      </c>
      <c r="F61" s="138">
        <f t="shared" si="19"/>
        <v>98.46853899999999</v>
      </c>
      <c r="G61" s="138">
        <f t="shared" si="19"/>
        <v>16.464596</v>
      </c>
      <c r="H61" s="138">
        <f t="shared" si="19"/>
        <v>114.933135</v>
      </c>
      <c r="I61" s="138">
        <f t="shared" si="19"/>
        <v>126.42644850000002</v>
      </c>
      <c r="J61" s="138">
        <f t="shared" si="19"/>
        <v>-0.06662972000000256</v>
      </c>
      <c r="K61" s="139">
        <f t="shared" si="19"/>
        <v>15.32506</v>
      </c>
      <c r="L61" s="139">
        <f t="shared" si="19"/>
        <v>16.857566000000002</v>
      </c>
      <c r="M61" s="140">
        <f t="shared" si="19"/>
        <v>-16.92419572</v>
      </c>
    </row>
    <row r="62" spans="1:13" ht="38.25" customHeight="1">
      <c r="A62" s="246" t="s">
        <v>87</v>
      </c>
      <c r="B62" s="247"/>
      <c r="C62" s="235">
        <f>C61+C48+C24</f>
        <v>145.64620000000002</v>
      </c>
      <c r="D62" s="236"/>
      <c r="E62" s="237">
        <f aca="true" t="shared" si="20" ref="E62:M62">E61+E48+E24</f>
        <v>126.35981877999998</v>
      </c>
      <c r="F62" s="238">
        <f t="shared" si="20"/>
        <v>106.78213899999999</v>
      </c>
      <c r="G62" s="238">
        <f t="shared" si="20"/>
        <v>19.110916</v>
      </c>
      <c r="H62" s="235">
        <f t="shared" si="20"/>
        <v>125.89305499999999</v>
      </c>
      <c r="I62" s="239">
        <f t="shared" si="20"/>
        <v>138.48236050000003</v>
      </c>
      <c r="J62" s="238">
        <f t="shared" si="20"/>
        <v>-0.06662972000000256</v>
      </c>
      <c r="K62" s="238">
        <f t="shared" si="20"/>
        <v>15.69242</v>
      </c>
      <c r="L62" s="238">
        <f t="shared" si="20"/>
        <v>17.261662</v>
      </c>
      <c r="M62" s="235">
        <f t="shared" si="20"/>
        <v>-16.92419572</v>
      </c>
    </row>
    <row r="63" spans="6:10" ht="12.75">
      <c r="F63" s="65"/>
      <c r="J63" s="16"/>
    </row>
    <row r="64" spans="1:13" ht="12.75">
      <c r="A64" t="s">
        <v>57</v>
      </c>
      <c r="M64" s="16"/>
    </row>
    <row r="65" spans="6:10" ht="12.75">
      <c r="F65" s="65"/>
      <c r="J65" s="16"/>
    </row>
    <row r="70" ht="12.75">
      <c r="H70" s="4"/>
    </row>
    <row r="71" ht="12.75">
      <c r="H71" s="4"/>
    </row>
  </sheetData>
  <sheetProtection/>
  <mergeCells count="29">
    <mergeCell ref="L2:M2"/>
    <mergeCell ref="L3:M3"/>
    <mergeCell ref="L4:M4"/>
    <mergeCell ref="L5:M5"/>
    <mergeCell ref="A8:M8"/>
    <mergeCell ref="A9:M9"/>
    <mergeCell ref="A10:M10"/>
    <mergeCell ref="A12:A13"/>
    <mergeCell ref="B12:B13"/>
    <mergeCell ref="C12:C13"/>
    <mergeCell ref="D12:D13"/>
    <mergeCell ref="E12:E13"/>
    <mergeCell ref="F12:I12"/>
    <mergeCell ref="J12:J13"/>
    <mergeCell ref="K12:K13"/>
    <mergeCell ref="L12:L13"/>
    <mergeCell ref="M12:M13"/>
    <mergeCell ref="A15:M15"/>
    <mergeCell ref="A33:B33"/>
    <mergeCell ref="A34:B34"/>
    <mergeCell ref="A35:M35"/>
    <mergeCell ref="A36:M37"/>
    <mergeCell ref="A62:B62"/>
    <mergeCell ref="A49:B49"/>
    <mergeCell ref="A50:B50"/>
    <mergeCell ref="A51:M51"/>
    <mergeCell ref="A59:B59"/>
    <mergeCell ref="A60:M60"/>
    <mergeCell ref="A61:B61"/>
  </mergeCells>
  <printOptions horizontalCentered="1"/>
  <pageMargins left="0.5511811023622047" right="0.5511811023622047" top="0.8661417322834646" bottom="0.7086614173228347" header="0" footer="0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4"/>
  <sheetViews>
    <sheetView view="pageBreakPreview" zoomScale="70" zoomScaleNormal="70" zoomScaleSheetLayoutView="70" workbookViewId="0" topLeftCell="K14">
      <selection activeCell="AI38" sqref="AI38"/>
    </sheetView>
  </sheetViews>
  <sheetFormatPr defaultColWidth="9.00390625" defaultRowHeight="12.75"/>
  <cols>
    <col min="1" max="1" width="5.25390625" style="0" customWidth="1"/>
    <col min="2" max="2" width="16.75390625" style="0" customWidth="1"/>
    <col min="3" max="3" width="10.375" style="0" customWidth="1"/>
    <col min="4" max="4" width="6.25390625" style="0" customWidth="1"/>
    <col min="5" max="5" width="12.00390625" style="0" customWidth="1"/>
    <col min="6" max="6" width="1.625" style="0" customWidth="1"/>
    <col min="7" max="7" width="13.625" style="0" customWidth="1"/>
    <col min="8" max="8" width="10.25390625" style="0" customWidth="1"/>
    <col min="9" max="9" width="7.25390625" style="0" customWidth="1"/>
    <col min="10" max="10" width="10.75390625" style="0" customWidth="1"/>
    <col min="11" max="11" width="13.25390625" style="0" customWidth="1"/>
    <col min="12" max="12" width="12.25390625" style="0" customWidth="1"/>
    <col min="13" max="13" width="1.75390625" style="0" customWidth="1"/>
    <col min="14" max="14" width="10.75390625" style="0" customWidth="1"/>
    <col min="15" max="15" width="7.375" style="0" customWidth="1"/>
    <col min="16" max="16" width="10.625" style="0" customWidth="1"/>
    <col min="17" max="17" width="13.125" style="0" customWidth="1"/>
    <col min="18" max="18" width="11.75390625" style="0" customWidth="1"/>
    <col min="19" max="19" width="1.875" style="0" customWidth="1"/>
    <col min="20" max="20" width="11.00390625" style="0" bestFit="1" customWidth="1"/>
    <col min="21" max="22" width="10.75390625" style="0" customWidth="1"/>
    <col min="23" max="24" width="14.75390625" style="0" customWidth="1"/>
    <col min="25" max="25" width="2.25390625" style="0" customWidth="1"/>
    <col min="26" max="27" width="14.75390625" style="0" customWidth="1"/>
    <col min="28" max="28" width="14.00390625" style="0" customWidth="1"/>
    <col min="29" max="29" width="13.875" style="0" customWidth="1"/>
    <col min="30" max="30" width="14.75390625" style="0" customWidth="1"/>
    <col min="31" max="31" width="9.75390625" style="0" bestFit="1" customWidth="1"/>
  </cols>
  <sheetData>
    <row r="2" spans="29:30" ht="12.75" hidden="1">
      <c r="AC2" s="288" t="s">
        <v>0</v>
      </c>
      <c r="AD2" s="288"/>
    </row>
    <row r="3" spans="29:30" ht="12.75" hidden="1">
      <c r="AC3" s="289" t="s">
        <v>39</v>
      </c>
      <c r="AD3" s="289"/>
    </row>
    <row r="4" spans="29:30" ht="15.75" customHeight="1" hidden="1">
      <c r="AC4" s="289" t="s">
        <v>40</v>
      </c>
      <c r="AD4" s="289"/>
    </row>
    <row r="5" spans="29:30" ht="15.75" customHeight="1" hidden="1">
      <c r="AC5" s="289" t="s">
        <v>44</v>
      </c>
      <c r="AD5" s="289"/>
    </row>
    <row r="6" ht="12.75" hidden="1"/>
    <row r="7" ht="12.75" hidden="1"/>
    <row r="8" spans="1:30" ht="15">
      <c r="A8" s="312" t="s">
        <v>5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</row>
    <row r="9" spans="1:30" ht="15">
      <c r="A9" s="312" t="s">
        <v>62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</row>
    <row r="10" spans="1:30" ht="12.75">
      <c r="A10" s="276" t="s">
        <v>99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</row>
    <row r="12" spans="3:30" ht="12.75">
      <c r="C12" s="310" t="s">
        <v>68</v>
      </c>
      <c r="D12" s="310"/>
      <c r="E12" s="310"/>
      <c r="G12" s="311" t="s">
        <v>66</v>
      </c>
      <c r="H12" s="311"/>
      <c r="I12" s="311"/>
      <c r="J12" s="311"/>
      <c r="K12" s="311"/>
      <c r="L12" s="311"/>
      <c r="N12" s="311" t="s">
        <v>67</v>
      </c>
      <c r="O12" s="311"/>
      <c r="P12" s="311"/>
      <c r="Q12" s="311"/>
      <c r="R12" s="311"/>
      <c r="T12" s="311" t="s">
        <v>69</v>
      </c>
      <c r="U12" s="311"/>
      <c r="V12" s="311"/>
      <c r="W12" s="311"/>
      <c r="X12" s="311"/>
      <c r="Z12" s="311" t="s">
        <v>70</v>
      </c>
      <c r="AA12" s="311"/>
      <c r="AB12" s="311"/>
      <c r="AC12" s="311"/>
      <c r="AD12" s="311"/>
    </row>
    <row r="13" spans="1:32" ht="36" customHeight="1">
      <c r="A13" s="277" t="s">
        <v>2</v>
      </c>
      <c r="B13" s="277" t="s">
        <v>3</v>
      </c>
      <c r="C13" s="278" t="s">
        <v>88</v>
      </c>
      <c r="D13" s="277" t="s">
        <v>6</v>
      </c>
      <c r="E13" s="280" t="s">
        <v>89</v>
      </c>
      <c r="F13" s="304"/>
      <c r="G13" s="308" t="s">
        <v>58</v>
      </c>
      <c r="H13" s="284" t="s">
        <v>90</v>
      </c>
      <c r="I13" s="284" t="s">
        <v>60</v>
      </c>
      <c r="J13" s="284" t="s">
        <v>91</v>
      </c>
      <c r="K13" s="282" t="s">
        <v>45</v>
      </c>
      <c r="L13" s="262" t="s">
        <v>10</v>
      </c>
      <c r="M13" s="304"/>
      <c r="N13" s="284" t="s">
        <v>92</v>
      </c>
      <c r="O13" s="284" t="s">
        <v>59</v>
      </c>
      <c r="P13" s="284" t="s">
        <v>93</v>
      </c>
      <c r="Q13" s="282" t="s">
        <v>45</v>
      </c>
      <c r="R13" s="262" t="s">
        <v>10</v>
      </c>
      <c r="S13" s="304"/>
      <c r="T13" s="282" t="s">
        <v>8</v>
      </c>
      <c r="U13" s="283"/>
      <c r="V13" s="283"/>
      <c r="W13" s="283"/>
      <c r="X13" s="282" t="s">
        <v>45</v>
      </c>
      <c r="Y13" s="180"/>
      <c r="Z13" s="306" t="s">
        <v>63</v>
      </c>
      <c r="AA13" s="306" t="s">
        <v>64</v>
      </c>
      <c r="AB13" s="306" t="s">
        <v>65</v>
      </c>
      <c r="AC13" s="286" t="s">
        <v>43</v>
      </c>
      <c r="AD13" s="262" t="s">
        <v>10</v>
      </c>
      <c r="AE13" s="296" t="s">
        <v>94</v>
      </c>
      <c r="AF13" s="4"/>
    </row>
    <row r="14" spans="1:32" ht="66.75" customHeight="1">
      <c r="A14" s="277"/>
      <c r="B14" s="277"/>
      <c r="C14" s="279"/>
      <c r="D14" s="277"/>
      <c r="E14" s="281"/>
      <c r="F14" s="305"/>
      <c r="G14" s="309"/>
      <c r="H14" s="285"/>
      <c r="I14" s="285"/>
      <c r="J14" s="285"/>
      <c r="K14" s="282"/>
      <c r="L14" s="263"/>
      <c r="M14" s="305"/>
      <c r="N14" s="285"/>
      <c r="O14" s="285"/>
      <c r="P14" s="285"/>
      <c r="Q14" s="282"/>
      <c r="R14" s="263"/>
      <c r="S14" s="305"/>
      <c r="T14" s="143" t="s">
        <v>1</v>
      </c>
      <c r="U14" s="143" t="s">
        <v>4</v>
      </c>
      <c r="V14" s="144" t="s">
        <v>9</v>
      </c>
      <c r="W14" s="144" t="s">
        <v>12</v>
      </c>
      <c r="X14" s="282"/>
      <c r="Y14" s="181"/>
      <c r="Z14" s="307"/>
      <c r="AA14" s="307"/>
      <c r="AB14" s="307"/>
      <c r="AC14" s="287"/>
      <c r="AD14" s="262"/>
      <c r="AE14" s="296"/>
      <c r="AF14" s="4"/>
    </row>
    <row r="15" spans="1:3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47"/>
      <c r="G15" s="58"/>
      <c r="H15" s="1"/>
      <c r="I15" s="1"/>
      <c r="J15" s="1"/>
      <c r="K15" s="1"/>
      <c r="L15" s="1"/>
      <c r="M15" s="47"/>
      <c r="N15" s="182"/>
      <c r="O15" s="1"/>
      <c r="P15" s="1"/>
      <c r="Q15" s="1"/>
      <c r="R15" s="1"/>
      <c r="S15" s="47"/>
      <c r="T15" s="1">
        <v>6</v>
      </c>
      <c r="U15" s="1">
        <v>7</v>
      </c>
      <c r="V15" s="1">
        <v>8</v>
      </c>
      <c r="W15" s="1">
        <v>9</v>
      </c>
      <c r="X15" s="18">
        <v>10</v>
      </c>
      <c r="Y15" s="96"/>
      <c r="Z15" s="18">
        <v>11</v>
      </c>
      <c r="AA15" s="18">
        <v>12</v>
      </c>
      <c r="AB15" s="2">
        <v>13</v>
      </c>
      <c r="AC15" s="2">
        <v>14</v>
      </c>
      <c r="AD15" s="214">
        <v>15</v>
      </c>
      <c r="AE15" s="222"/>
    </row>
    <row r="16" spans="1:31" ht="15" customHeight="1">
      <c r="A16" s="297" t="s">
        <v>14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11"/>
    </row>
    <row r="17" spans="1:31" ht="12.75">
      <c r="A17" s="183">
        <v>1</v>
      </c>
      <c r="B17" s="5" t="s">
        <v>13</v>
      </c>
      <c r="C17" s="8">
        <v>3.87</v>
      </c>
      <c r="D17" s="72">
        <v>88.66</v>
      </c>
      <c r="E17" s="66">
        <f aca="true" t="shared" si="0" ref="E17:E33">C17*D17/100</f>
        <v>3.431142</v>
      </c>
      <c r="F17" s="48"/>
      <c r="G17" s="8">
        <f>H17+N17</f>
        <v>4.333619948409286</v>
      </c>
      <c r="H17" s="8">
        <f>2*2/1.163</f>
        <v>3.4393809114359413</v>
      </c>
      <c r="I17" s="110">
        <v>94</v>
      </c>
      <c r="J17" s="8">
        <f>H17*I17/100</f>
        <v>3.233018056749785</v>
      </c>
      <c r="K17" s="119">
        <f>J17-T17*1.1</f>
        <v>-0.5617685432502157</v>
      </c>
      <c r="L17" s="119">
        <f>J17-T17*1.1-Z17*1.1</f>
        <v>-0.5617685432502157</v>
      </c>
      <c r="M17" s="48"/>
      <c r="N17" s="8">
        <f>0.52*2/1.163</f>
        <v>0.8942390369733448</v>
      </c>
      <c r="O17" s="110">
        <v>94</v>
      </c>
      <c r="P17" s="8">
        <f aca="true" t="shared" si="1" ref="P17:P22">N17*O17/100</f>
        <v>0.8405846947549442</v>
      </c>
      <c r="Q17" s="8">
        <f>P17-U17*1.1</f>
        <v>0.4357560947549442</v>
      </c>
      <c r="R17" s="8">
        <f>P17-U17*1.1-AA17*1.1</f>
        <v>0.4357560947549442</v>
      </c>
      <c r="S17" s="48"/>
      <c r="T17" s="43">
        <v>3.449806</v>
      </c>
      <c r="U17" s="43">
        <v>0.368026</v>
      </c>
      <c r="V17" s="10">
        <f>SUM(T17:U17)</f>
        <v>3.817832</v>
      </c>
      <c r="W17" s="66">
        <f>V17*1.1</f>
        <v>4.1996152</v>
      </c>
      <c r="X17" s="19">
        <f aca="true" t="shared" si="2" ref="X17:X33">E17-W17</f>
        <v>-0.7684732000000003</v>
      </c>
      <c r="Y17" s="97"/>
      <c r="Z17" s="21">
        <v>0</v>
      </c>
      <c r="AA17" s="21">
        <v>0</v>
      </c>
      <c r="AB17" s="10">
        <f>Z17+AA17</f>
        <v>0</v>
      </c>
      <c r="AC17" s="8">
        <f>AB17*1.1</f>
        <v>0</v>
      </c>
      <c r="AD17" s="19">
        <f>E17-W17-AC17</f>
        <v>-0.7684732000000003</v>
      </c>
      <c r="AE17" s="223">
        <f>C17-W17-AC17</f>
        <v>-0.3296152000000001</v>
      </c>
    </row>
    <row r="18" spans="1:31" ht="12.75">
      <c r="A18" s="184">
        <v>2</v>
      </c>
      <c r="B18" s="185" t="s">
        <v>15</v>
      </c>
      <c r="C18" s="8">
        <v>1.788</v>
      </c>
      <c r="D18" s="73">
        <v>87.87</v>
      </c>
      <c r="E18" s="66">
        <f t="shared" si="0"/>
        <v>1.5711156</v>
      </c>
      <c r="F18" s="48"/>
      <c r="G18" s="8">
        <f>H18+N18</f>
        <v>1.840068787618229</v>
      </c>
      <c r="H18" s="8">
        <f>0.55*2/1.163</f>
        <v>0.945829750644884</v>
      </c>
      <c r="I18" s="110">
        <v>94</v>
      </c>
      <c r="J18" s="8">
        <f aca="true" t="shared" si="3" ref="J18:J32">H18*I18/100</f>
        <v>0.889079965606191</v>
      </c>
      <c r="K18" s="119">
        <f aca="true" t="shared" si="4" ref="K18:K30">J18-T18*1.1</f>
        <v>-0.403819334393809</v>
      </c>
      <c r="L18" s="119">
        <f aca="true" t="shared" si="5" ref="L18:L32">J18-T18*1.1-Z18*1.1</f>
        <v>-0.403819334393809</v>
      </c>
      <c r="M18" s="48"/>
      <c r="N18" s="8">
        <f>0.52*2/1.163</f>
        <v>0.8942390369733448</v>
      </c>
      <c r="O18" s="110">
        <v>94</v>
      </c>
      <c r="P18" s="8">
        <f t="shared" si="1"/>
        <v>0.8405846947549442</v>
      </c>
      <c r="Q18" s="8">
        <f aca="true" t="shared" si="6" ref="Q18:Q30">P18-U18*1.1</f>
        <v>0.47939969475494426</v>
      </c>
      <c r="R18" s="8">
        <f aca="true" t="shared" si="7" ref="R18:R32">P18-U18*1.1-AA18*1.1</f>
        <v>0.47939969475494426</v>
      </c>
      <c r="S18" s="48"/>
      <c r="T18" s="43">
        <v>1.175363</v>
      </c>
      <c r="U18" s="43">
        <v>0.32835</v>
      </c>
      <c r="V18" s="10">
        <f aca="true" t="shared" si="8" ref="V18:V33">SUM(T18:U18)</f>
        <v>1.5037129999999999</v>
      </c>
      <c r="W18" s="66">
        <f>V18*1.1</f>
        <v>1.6540843</v>
      </c>
      <c r="X18" s="19">
        <f t="shared" si="2"/>
        <v>-0.08296870000000012</v>
      </c>
      <c r="Y18" s="97"/>
      <c r="Z18" s="21">
        <v>0</v>
      </c>
      <c r="AA18" s="21">
        <v>0</v>
      </c>
      <c r="AB18" s="10">
        <f>Z18+AA18</f>
        <v>0</v>
      </c>
      <c r="AC18" s="8">
        <f aca="true" t="shared" si="9" ref="AC18:AC33">AB18*1.1</f>
        <v>0</v>
      </c>
      <c r="AD18" s="19">
        <f>E18-W18-AC18</f>
        <v>-0.08296870000000012</v>
      </c>
      <c r="AE18" s="79">
        <f aca="true" t="shared" si="10" ref="AE18:AE33">C18-W18-AC18</f>
        <v>0.13391569999999997</v>
      </c>
    </row>
    <row r="19" spans="1:32" ht="12.75">
      <c r="A19" s="184">
        <v>3</v>
      </c>
      <c r="B19" s="186" t="s">
        <v>16</v>
      </c>
      <c r="C19" s="66">
        <v>6.45</v>
      </c>
      <c r="D19" s="74">
        <v>87.49</v>
      </c>
      <c r="E19" s="66">
        <f t="shared" si="0"/>
        <v>5.643104999999999</v>
      </c>
      <c r="F19" s="49"/>
      <c r="G19" s="66">
        <f>H19+N19</f>
        <v>6.7119518486672405</v>
      </c>
      <c r="H19" s="66">
        <f>3*2/1.163</f>
        <v>5.159071367153913</v>
      </c>
      <c r="I19" s="110">
        <v>94</v>
      </c>
      <c r="J19" s="8">
        <f t="shared" si="3"/>
        <v>4.849527085124678</v>
      </c>
      <c r="K19" s="119">
        <f t="shared" si="4"/>
        <v>-0.6405740148753223</v>
      </c>
      <c r="L19" s="119">
        <f t="shared" si="5"/>
        <v>-0.8025380148753223</v>
      </c>
      <c r="M19" s="49"/>
      <c r="N19" s="66">
        <f>0.903*2/1.163</f>
        <v>1.5528804815133277</v>
      </c>
      <c r="O19" s="110">
        <v>94</v>
      </c>
      <c r="P19" s="8">
        <f t="shared" si="1"/>
        <v>1.4597076526225279</v>
      </c>
      <c r="Q19" s="8">
        <f t="shared" si="6"/>
        <v>0.27806345262252785</v>
      </c>
      <c r="R19" s="8">
        <f t="shared" si="7"/>
        <v>0.17063195262252784</v>
      </c>
      <c r="S19" s="49"/>
      <c r="T19" s="10">
        <v>4.991001</v>
      </c>
      <c r="U19" s="10">
        <v>1.074222</v>
      </c>
      <c r="V19" s="10">
        <f t="shared" si="8"/>
        <v>6.065223</v>
      </c>
      <c r="W19" s="66">
        <f>V19*1.1</f>
        <v>6.6717453</v>
      </c>
      <c r="X19" s="19">
        <f t="shared" si="2"/>
        <v>-1.028640300000001</v>
      </c>
      <c r="Y19" s="97"/>
      <c r="Z19" s="21">
        <v>0.14724</v>
      </c>
      <c r="AA19" s="21">
        <v>0.097665</v>
      </c>
      <c r="AB19" s="10">
        <f>Z19+AA19</f>
        <v>0.244905</v>
      </c>
      <c r="AC19" s="8">
        <f t="shared" si="9"/>
        <v>0.2693955</v>
      </c>
      <c r="AD19" s="19">
        <f aca="true" t="shared" si="11" ref="AD19:AD31">E19-W19-AC19</f>
        <v>-1.298035800000001</v>
      </c>
      <c r="AE19" s="223">
        <f t="shared" si="10"/>
        <v>-0.49114080000000027</v>
      </c>
      <c r="AF19" s="227"/>
    </row>
    <row r="20" spans="1:32" ht="12.75">
      <c r="A20" s="184">
        <v>4</v>
      </c>
      <c r="B20" s="186" t="s">
        <v>17</v>
      </c>
      <c r="C20" s="66">
        <v>15.48</v>
      </c>
      <c r="D20" s="74">
        <v>89.15</v>
      </c>
      <c r="E20" s="66">
        <f t="shared" si="0"/>
        <v>13.80042</v>
      </c>
      <c r="F20" s="49"/>
      <c r="G20" s="66">
        <f aca="true" t="shared" si="12" ref="G20:G34">H20+N20</f>
        <v>15.468615649183146</v>
      </c>
      <c r="H20" s="66">
        <f>4.69*3/1.163</f>
        <v>12.098022355975925</v>
      </c>
      <c r="I20" s="110">
        <v>94</v>
      </c>
      <c r="J20" s="8">
        <f t="shared" si="3"/>
        <v>11.372141014617368</v>
      </c>
      <c r="K20" s="119">
        <f t="shared" si="4"/>
        <v>-1.849555385382633</v>
      </c>
      <c r="L20" s="119">
        <f t="shared" si="5"/>
        <v>-2.050855385382633</v>
      </c>
      <c r="M20" s="49"/>
      <c r="N20" s="66">
        <f>1.96*2/1.163</f>
        <v>3.3705932932072225</v>
      </c>
      <c r="O20" s="110">
        <v>94</v>
      </c>
      <c r="P20" s="8">
        <f t="shared" si="1"/>
        <v>3.168357695614789</v>
      </c>
      <c r="Q20" s="8">
        <f t="shared" si="6"/>
        <v>0.5271872956147892</v>
      </c>
      <c r="R20" s="8">
        <f t="shared" si="7"/>
        <v>0.5271872956147892</v>
      </c>
      <c r="S20" s="49"/>
      <c r="T20" s="10">
        <v>12.019724</v>
      </c>
      <c r="U20" s="10">
        <v>2.401064</v>
      </c>
      <c r="V20" s="10">
        <f t="shared" si="8"/>
        <v>14.420788</v>
      </c>
      <c r="W20" s="66">
        <f>V20*1.1</f>
        <v>15.8628668</v>
      </c>
      <c r="X20" s="19">
        <f t="shared" si="2"/>
        <v>-2.0624468</v>
      </c>
      <c r="Y20" s="97"/>
      <c r="Z20" s="21">
        <v>0.183</v>
      </c>
      <c r="AA20" s="21">
        <v>0</v>
      </c>
      <c r="AB20" s="10">
        <f aca="true" t="shared" si="13" ref="AB20:AB33">Z20+AA20</f>
        <v>0.183</v>
      </c>
      <c r="AC20" s="8">
        <f t="shared" si="9"/>
        <v>0.2013</v>
      </c>
      <c r="AD20" s="19">
        <f t="shared" si="11"/>
        <v>-2.2637468</v>
      </c>
      <c r="AE20" s="223">
        <f t="shared" si="10"/>
        <v>-0.5841668000000004</v>
      </c>
      <c r="AF20" s="240"/>
    </row>
    <row r="21" spans="1:33" ht="12.75">
      <c r="A21" s="184">
        <v>5</v>
      </c>
      <c r="B21" s="186" t="s">
        <v>18</v>
      </c>
      <c r="C21" s="66">
        <v>17.025</v>
      </c>
      <c r="D21" s="74">
        <v>88.41</v>
      </c>
      <c r="E21" s="66">
        <f t="shared" si="0"/>
        <v>15.051802499999999</v>
      </c>
      <c r="F21" s="49"/>
      <c r="G21" s="66">
        <f t="shared" si="12"/>
        <v>30.855546001719688</v>
      </c>
      <c r="H21" s="66">
        <f>13.2*2/1.163</f>
        <v>22.699914015477212</v>
      </c>
      <c r="I21" s="110">
        <v>94</v>
      </c>
      <c r="J21" s="8">
        <f t="shared" si="3"/>
        <v>21.337919174548578</v>
      </c>
      <c r="K21" s="8">
        <f t="shared" si="4"/>
        <v>7.0513864745485755</v>
      </c>
      <c r="L21" s="8">
        <f t="shared" si="5"/>
        <v>5.339559874548575</v>
      </c>
      <c r="M21" s="49"/>
      <c r="N21" s="66">
        <f>1.897*5/1.163</f>
        <v>8.155631986242476</v>
      </c>
      <c r="O21" s="110">
        <v>70</v>
      </c>
      <c r="P21" s="8">
        <f t="shared" si="1"/>
        <v>5.708942390369733</v>
      </c>
      <c r="Q21" s="8">
        <f t="shared" si="6"/>
        <v>2.9737571903697333</v>
      </c>
      <c r="R21" s="8">
        <f t="shared" si="7"/>
        <v>1.3512428903697333</v>
      </c>
      <c r="S21" s="49"/>
      <c r="T21" s="10">
        <v>12.987757</v>
      </c>
      <c r="U21" s="10">
        <v>2.486532</v>
      </c>
      <c r="V21" s="10">
        <f t="shared" si="8"/>
        <v>15.474289</v>
      </c>
      <c r="W21" s="66">
        <f>V21*1.1</f>
        <v>17.021717900000002</v>
      </c>
      <c r="X21" s="19">
        <f t="shared" si="2"/>
        <v>-1.9699154000000032</v>
      </c>
      <c r="Y21" s="97"/>
      <c r="Z21" s="21">
        <v>1.556206</v>
      </c>
      <c r="AA21" s="21">
        <v>1.475013</v>
      </c>
      <c r="AB21" s="10">
        <f t="shared" si="13"/>
        <v>3.031219</v>
      </c>
      <c r="AC21" s="8">
        <f t="shared" si="9"/>
        <v>3.3343409000000004</v>
      </c>
      <c r="AD21" s="19">
        <f t="shared" si="11"/>
        <v>-5.304256300000004</v>
      </c>
      <c r="AE21" s="223">
        <f t="shared" si="10"/>
        <v>-3.331058800000004</v>
      </c>
      <c r="AF21" s="229"/>
      <c r="AG21" s="227"/>
    </row>
    <row r="22" spans="1:33" ht="12.75">
      <c r="A22" s="184">
        <v>6</v>
      </c>
      <c r="B22" s="186" t="s">
        <v>19</v>
      </c>
      <c r="C22" s="66">
        <v>7.74</v>
      </c>
      <c r="D22" s="74">
        <v>88.35</v>
      </c>
      <c r="E22" s="66">
        <f t="shared" si="0"/>
        <v>6.83829</v>
      </c>
      <c r="F22" s="49"/>
      <c r="G22" s="66">
        <f t="shared" si="12"/>
        <v>7.738607050730868</v>
      </c>
      <c r="H22" s="66">
        <f>3.52*2/1.163</f>
        <v>6.053310404127257</v>
      </c>
      <c r="I22" s="110">
        <v>94</v>
      </c>
      <c r="J22" s="8">
        <f t="shared" si="3"/>
        <v>5.690111779879621</v>
      </c>
      <c r="K22" s="8">
        <f t="shared" si="4"/>
        <v>0.1253294798796203</v>
      </c>
      <c r="L22" s="8">
        <f t="shared" si="5"/>
        <v>0.1253294798796203</v>
      </c>
      <c r="M22" s="49"/>
      <c r="N22" s="66">
        <f>0.98*2/1.163</f>
        <v>1.6852966466036112</v>
      </c>
      <c r="O22" s="110">
        <v>94</v>
      </c>
      <c r="P22" s="8">
        <f t="shared" si="1"/>
        <v>1.5841788478073946</v>
      </c>
      <c r="Q22" s="8">
        <f t="shared" si="6"/>
        <v>0.048312647807394526</v>
      </c>
      <c r="R22" s="8">
        <f t="shared" si="7"/>
        <v>0.048312647807394526</v>
      </c>
      <c r="S22" s="49"/>
      <c r="T22" s="10">
        <v>5.058893</v>
      </c>
      <c r="U22" s="10">
        <v>1.396242</v>
      </c>
      <c r="V22" s="10">
        <f t="shared" si="8"/>
        <v>6.455135</v>
      </c>
      <c r="W22" s="66">
        <f aca="true" t="shared" si="14" ref="W22:W33">V22*1.1</f>
        <v>7.100648500000001</v>
      </c>
      <c r="X22" s="19">
        <f t="shared" si="2"/>
        <v>-0.26235850000000127</v>
      </c>
      <c r="Y22" s="97"/>
      <c r="Z22" s="21">
        <v>0</v>
      </c>
      <c r="AA22" s="21">
        <v>0</v>
      </c>
      <c r="AB22" s="10">
        <f t="shared" si="13"/>
        <v>0</v>
      </c>
      <c r="AC22" s="8">
        <f t="shared" si="9"/>
        <v>0</v>
      </c>
      <c r="AD22" s="19">
        <f t="shared" si="11"/>
        <v>-0.26235850000000127</v>
      </c>
      <c r="AE22" s="79">
        <f t="shared" si="10"/>
        <v>0.6393514999999992</v>
      </c>
      <c r="AF22" s="229"/>
      <c r="AG22" s="227"/>
    </row>
    <row r="23" spans="1:33" ht="12.75">
      <c r="A23" s="184">
        <v>7</v>
      </c>
      <c r="B23" s="186" t="s">
        <v>20</v>
      </c>
      <c r="C23" s="66">
        <v>3.354</v>
      </c>
      <c r="D23" s="74">
        <v>88.03</v>
      </c>
      <c r="E23" s="66">
        <f t="shared" si="0"/>
        <v>2.9525262000000003</v>
      </c>
      <c r="F23" s="49"/>
      <c r="G23" s="66">
        <f t="shared" si="12"/>
        <v>3.3533963886500433</v>
      </c>
      <c r="H23" s="66">
        <f>1.3*3/1.163</f>
        <v>3.3533963886500433</v>
      </c>
      <c r="I23" s="110">
        <v>94</v>
      </c>
      <c r="J23" s="66">
        <f t="shared" si="3"/>
        <v>3.1521926053310407</v>
      </c>
      <c r="K23" s="8">
        <f t="shared" si="4"/>
        <v>1.1151147053310408</v>
      </c>
      <c r="L23" s="8">
        <f t="shared" si="5"/>
        <v>0.21062650533104077</v>
      </c>
      <c r="M23" s="49"/>
      <c r="N23" s="110">
        <v>0</v>
      </c>
      <c r="O23" s="110">
        <v>0</v>
      </c>
      <c r="P23" s="110">
        <v>0</v>
      </c>
      <c r="Q23" s="114">
        <f t="shared" si="6"/>
        <v>0</v>
      </c>
      <c r="R23" s="8">
        <f t="shared" si="7"/>
        <v>0</v>
      </c>
      <c r="S23" s="49"/>
      <c r="T23" s="10">
        <v>1.851889</v>
      </c>
      <c r="U23" s="17">
        <v>0</v>
      </c>
      <c r="V23" s="10">
        <f t="shared" si="8"/>
        <v>1.851889</v>
      </c>
      <c r="W23" s="66">
        <f t="shared" si="14"/>
        <v>2.0370779</v>
      </c>
      <c r="X23" s="46">
        <f t="shared" si="2"/>
        <v>0.9154483000000004</v>
      </c>
      <c r="Y23" s="97"/>
      <c r="Z23" s="21">
        <v>0.822262</v>
      </c>
      <c r="AA23" s="21">
        <v>0</v>
      </c>
      <c r="AB23" s="10">
        <f t="shared" si="13"/>
        <v>0.822262</v>
      </c>
      <c r="AC23" s="8">
        <f t="shared" si="9"/>
        <v>0.9044882000000001</v>
      </c>
      <c r="AD23" s="19">
        <f t="shared" si="11"/>
        <v>0.010960100000000361</v>
      </c>
      <c r="AE23" s="79">
        <f t="shared" si="10"/>
        <v>0.41243390000000013</v>
      </c>
      <c r="AF23" s="240"/>
      <c r="AG23" s="227"/>
    </row>
    <row r="24" spans="1:33" ht="12.75">
      <c r="A24" s="184">
        <v>8</v>
      </c>
      <c r="B24" s="186" t="s">
        <v>21</v>
      </c>
      <c r="C24" s="66">
        <v>7.74</v>
      </c>
      <c r="D24" s="74">
        <v>88.54</v>
      </c>
      <c r="E24" s="66">
        <f t="shared" si="0"/>
        <v>6.852996000000001</v>
      </c>
      <c r="F24" s="49"/>
      <c r="G24" s="66">
        <f t="shared" si="12"/>
        <v>11.143594153052451</v>
      </c>
      <c r="H24" s="66">
        <f>3.52*3/1.163</f>
        <v>9.079965606190886</v>
      </c>
      <c r="I24" s="110">
        <v>94</v>
      </c>
      <c r="J24" s="66">
        <f t="shared" si="3"/>
        <v>8.535167669819431</v>
      </c>
      <c r="K24" s="8">
        <f t="shared" si="4"/>
        <v>1.336795169819431</v>
      </c>
      <c r="L24" s="8">
        <f t="shared" si="5"/>
        <v>1.159479569819431</v>
      </c>
      <c r="M24" s="49"/>
      <c r="N24" s="66">
        <f>1.2*2/1.163</f>
        <v>2.063628546861565</v>
      </c>
      <c r="O24" s="110">
        <v>94</v>
      </c>
      <c r="P24" s="66">
        <f>N24*O24/100</f>
        <v>1.9398108340498712</v>
      </c>
      <c r="Q24" s="8">
        <f t="shared" si="6"/>
        <v>0.465923034049871</v>
      </c>
      <c r="R24" s="8">
        <f t="shared" si="7"/>
        <v>0.463544834049871</v>
      </c>
      <c r="S24" s="49"/>
      <c r="T24" s="10">
        <v>6.543975</v>
      </c>
      <c r="U24" s="10">
        <v>1.339898</v>
      </c>
      <c r="V24" s="10">
        <f t="shared" si="8"/>
        <v>7.8838729999999995</v>
      </c>
      <c r="W24" s="66">
        <f t="shared" si="14"/>
        <v>8.6722603</v>
      </c>
      <c r="X24" s="19">
        <f t="shared" si="2"/>
        <v>-1.8192642999999986</v>
      </c>
      <c r="Y24" s="97"/>
      <c r="Z24" s="21">
        <v>0.161196</v>
      </c>
      <c r="AA24" s="21">
        <v>0.002162</v>
      </c>
      <c r="AB24" s="10">
        <f t="shared" si="13"/>
        <v>0.163358</v>
      </c>
      <c r="AC24" s="8">
        <f t="shared" si="9"/>
        <v>0.17969380000000001</v>
      </c>
      <c r="AD24" s="19">
        <f t="shared" si="11"/>
        <v>-1.9989580999999985</v>
      </c>
      <c r="AE24" s="223">
        <f t="shared" si="10"/>
        <v>-1.1119540999999993</v>
      </c>
      <c r="AF24" s="229"/>
      <c r="AG24" s="227"/>
    </row>
    <row r="25" spans="1:33" ht="12.75">
      <c r="A25" s="184">
        <v>9</v>
      </c>
      <c r="B25" s="187" t="s">
        <v>22</v>
      </c>
      <c r="C25" s="131"/>
      <c r="D25" s="130"/>
      <c r="E25" s="131"/>
      <c r="F25" s="49"/>
      <c r="G25" s="131"/>
      <c r="H25" s="131"/>
      <c r="I25" s="129"/>
      <c r="J25" s="131"/>
      <c r="K25" s="132"/>
      <c r="L25" s="132"/>
      <c r="M25" s="49"/>
      <c r="N25" s="131"/>
      <c r="O25" s="129"/>
      <c r="P25" s="131"/>
      <c r="Q25" s="132"/>
      <c r="R25" s="132"/>
      <c r="S25" s="49"/>
      <c r="T25" s="206">
        <v>4.153471</v>
      </c>
      <c r="U25" s="207">
        <v>2.64632</v>
      </c>
      <c r="V25" s="206">
        <f t="shared" si="8"/>
        <v>6.799790999999999</v>
      </c>
      <c r="W25" s="131">
        <f t="shared" si="14"/>
        <v>7.4797701</v>
      </c>
      <c r="X25" s="172"/>
      <c r="Y25" s="97"/>
      <c r="Z25" s="213">
        <v>0.22086</v>
      </c>
      <c r="AA25" s="213">
        <v>0.1465</v>
      </c>
      <c r="AB25" s="206">
        <f t="shared" si="13"/>
        <v>0.36736</v>
      </c>
      <c r="AC25" s="132">
        <f t="shared" si="9"/>
        <v>0.40409600000000007</v>
      </c>
      <c r="AD25" s="172"/>
      <c r="AE25" s="209"/>
      <c r="AF25" s="240"/>
      <c r="AG25" s="227"/>
    </row>
    <row r="26" spans="1:33" ht="12.75">
      <c r="A26" s="184">
        <v>10</v>
      </c>
      <c r="B26" s="186" t="s">
        <v>24</v>
      </c>
      <c r="C26" s="66">
        <v>3.354</v>
      </c>
      <c r="D26" s="75">
        <v>88.06</v>
      </c>
      <c r="E26" s="66">
        <f t="shared" si="0"/>
        <v>2.9535324000000003</v>
      </c>
      <c r="F26" s="49"/>
      <c r="G26" s="66">
        <f>H26+N26</f>
        <v>3.3533963886500433</v>
      </c>
      <c r="H26" s="66">
        <f>1.3*3/1.163</f>
        <v>3.3533963886500433</v>
      </c>
      <c r="I26" s="110">
        <v>94</v>
      </c>
      <c r="J26" s="66">
        <f>H26*I26/100</f>
        <v>3.1521926053310407</v>
      </c>
      <c r="K26" s="8">
        <f t="shared" si="4"/>
        <v>0.9790260053310407</v>
      </c>
      <c r="L26" s="8">
        <f t="shared" si="5"/>
        <v>0.19324870533104066</v>
      </c>
      <c r="M26" s="49"/>
      <c r="N26" s="110">
        <v>0</v>
      </c>
      <c r="O26" s="110">
        <v>0</v>
      </c>
      <c r="P26" s="110">
        <f aca="true" t="shared" si="15" ref="P26:P32">N26*O26/100</f>
        <v>0</v>
      </c>
      <c r="Q26" s="114">
        <f t="shared" si="6"/>
        <v>0</v>
      </c>
      <c r="R26" s="8">
        <f t="shared" si="7"/>
        <v>0</v>
      </c>
      <c r="S26" s="49"/>
      <c r="T26" s="10">
        <v>1.975606</v>
      </c>
      <c r="U26" s="10">
        <v>0</v>
      </c>
      <c r="V26" s="10">
        <f t="shared" si="8"/>
        <v>1.975606</v>
      </c>
      <c r="W26" s="66">
        <f t="shared" si="14"/>
        <v>2.1731666</v>
      </c>
      <c r="X26" s="46">
        <f t="shared" si="2"/>
        <v>0.7803658000000002</v>
      </c>
      <c r="Y26" s="97"/>
      <c r="Z26" s="21">
        <v>0.714343</v>
      </c>
      <c r="AA26" s="21">
        <v>0</v>
      </c>
      <c r="AB26" s="10">
        <f t="shared" si="13"/>
        <v>0.714343</v>
      </c>
      <c r="AC26" s="8">
        <f t="shared" si="9"/>
        <v>0.7857773</v>
      </c>
      <c r="AD26" s="19">
        <f t="shared" si="11"/>
        <v>-0.0054114999999997915</v>
      </c>
      <c r="AE26" s="79">
        <f t="shared" si="10"/>
        <v>0.3950561</v>
      </c>
      <c r="AF26" s="240"/>
      <c r="AG26" s="227"/>
    </row>
    <row r="27" spans="1:33" ht="12.75">
      <c r="A27" s="184">
        <v>11</v>
      </c>
      <c r="B27" s="186" t="s">
        <v>25</v>
      </c>
      <c r="C27" s="66">
        <v>4.128</v>
      </c>
      <c r="D27" s="73">
        <v>88</v>
      </c>
      <c r="E27" s="66">
        <f t="shared" si="0"/>
        <v>3.6326400000000003</v>
      </c>
      <c r="F27" s="49"/>
      <c r="G27" s="66">
        <f t="shared" si="12"/>
        <v>7.136715391229579</v>
      </c>
      <c r="H27" s="66">
        <f>3.62*2/1.163</f>
        <v>6.2252794496990544</v>
      </c>
      <c r="I27" s="110">
        <v>94</v>
      </c>
      <c r="J27" s="66">
        <f t="shared" si="3"/>
        <v>5.851762682717111</v>
      </c>
      <c r="K27" s="8">
        <f t="shared" si="4"/>
        <v>3.857385682717111</v>
      </c>
      <c r="L27" s="8">
        <f t="shared" si="5"/>
        <v>2.986822582717111</v>
      </c>
      <c r="M27" s="49"/>
      <c r="N27" s="66">
        <f>0.53*2/1.163</f>
        <v>0.9114359415305245</v>
      </c>
      <c r="O27" s="110">
        <v>94</v>
      </c>
      <c r="P27" s="66">
        <f t="shared" si="15"/>
        <v>0.8567497850386931</v>
      </c>
      <c r="Q27" s="8">
        <f t="shared" si="6"/>
        <v>0.5883739850386931</v>
      </c>
      <c r="R27" s="8">
        <f t="shared" si="7"/>
        <v>0.311115685038693</v>
      </c>
      <c r="S27" s="49"/>
      <c r="T27" s="10">
        <v>1.81307</v>
      </c>
      <c r="U27" s="17">
        <v>0.243978</v>
      </c>
      <c r="V27" s="10">
        <f t="shared" si="8"/>
        <v>2.057048</v>
      </c>
      <c r="W27" s="66">
        <f t="shared" si="14"/>
        <v>2.2627528000000003</v>
      </c>
      <c r="X27" s="46">
        <f t="shared" si="2"/>
        <v>1.3698872</v>
      </c>
      <c r="Y27" s="97"/>
      <c r="Z27" s="21">
        <v>0.791421</v>
      </c>
      <c r="AA27" s="21">
        <v>0.252053</v>
      </c>
      <c r="AB27" s="10">
        <f t="shared" si="13"/>
        <v>1.043474</v>
      </c>
      <c r="AC27" s="8">
        <f t="shared" si="9"/>
        <v>1.1478214000000002</v>
      </c>
      <c r="AD27" s="46">
        <f t="shared" si="11"/>
        <v>0.22206579999999976</v>
      </c>
      <c r="AE27" s="79">
        <f t="shared" si="10"/>
        <v>0.7174257999999996</v>
      </c>
      <c r="AF27" s="229"/>
      <c r="AG27" s="227"/>
    </row>
    <row r="28" spans="1:33" ht="12.75">
      <c r="A28" s="184">
        <v>12</v>
      </c>
      <c r="B28" s="186" t="s">
        <v>26</v>
      </c>
      <c r="C28" s="66">
        <v>7.14</v>
      </c>
      <c r="D28" s="74">
        <v>88.99</v>
      </c>
      <c r="E28" s="66">
        <f t="shared" si="0"/>
        <v>6.353885999999999</v>
      </c>
      <c r="F28" s="49"/>
      <c r="G28" s="66">
        <f t="shared" si="12"/>
        <v>9.595872742906277</v>
      </c>
      <c r="H28" s="66">
        <f>5*2/1.163</f>
        <v>8.598452278589853</v>
      </c>
      <c r="I28" s="110">
        <v>94</v>
      </c>
      <c r="J28" s="66">
        <f t="shared" si="3"/>
        <v>8.082545141874462</v>
      </c>
      <c r="K28" s="8">
        <f t="shared" si="4"/>
        <v>4.005554641874462</v>
      </c>
      <c r="L28" s="8">
        <f t="shared" si="5"/>
        <v>2.430888141874462</v>
      </c>
      <c r="M28" s="49"/>
      <c r="N28" s="66">
        <f>0.58*2/1.163</f>
        <v>0.997420464316423</v>
      </c>
      <c r="O28" s="110">
        <v>94</v>
      </c>
      <c r="P28" s="66">
        <f t="shared" si="15"/>
        <v>0.9375752364574376</v>
      </c>
      <c r="Q28" s="119">
        <f t="shared" si="6"/>
        <v>-0.1674781635425625</v>
      </c>
      <c r="R28" s="119">
        <f t="shared" si="7"/>
        <v>-1.0395801635425626</v>
      </c>
      <c r="S28" s="49"/>
      <c r="T28" s="10">
        <v>3.706355</v>
      </c>
      <c r="U28" s="10">
        <v>1.004594</v>
      </c>
      <c r="V28" s="10">
        <f t="shared" si="8"/>
        <v>4.710948999999999</v>
      </c>
      <c r="W28" s="66">
        <f t="shared" si="14"/>
        <v>5.1820439</v>
      </c>
      <c r="X28" s="46">
        <f t="shared" si="2"/>
        <v>1.1718420999999992</v>
      </c>
      <c r="Y28" s="97"/>
      <c r="Z28" s="21">
        <v>1.431515</v>
      </c>
      <c r="AA28" s="21">
        <v>0.79282</v>
      </c>
      <c r="AB28" s="10">
        <f t="shared" si="13"/>
        <v>2.224335</v>
      </c>
      <c r="AC28" s="8">
        <f t="shared" si="9"/>
        <v>2.4467685</v>
      </c>
      <c r="AD28" s="46">
        <f t="shared" si="11"/>
        <v>-1.274926400000001</v>
      </c>
      <c r="AE28" s="243">
        <f t="shared" si="10"/>
        <v>-0.4888124000000005</v>
      </c>
      <c r="AF28" s="240"/>
      <c r="AG28" s="227"/>
    </row>
    <row r="29" spans="1:33" ht="12.75">
      <c r="A29" s="184">
        <v>13</v>
      </c>
      <c r="B29" s="186" t="s">
        <v>27</v>
      </c>
      <c r="C29" s="66">
        <v>3.87</v>
      </c>
      <c r="D29" s="74">
        <v>88.47</v>
      </c>
      <c r="E29" s="66">
        <f t="shared" si="0"/>
        <v>3.4237889999999997</v>
      </c>
      <c r="F29" s="49"/>
      <c r="G29" s="66">
        <f t="shared" si="12"/>
        <v>3.50816852966466</v>
      </c>
      <c r="H29" s="66">
        <f>1.68*2/1.163</f>
        <v>2.8890799656061907</v>
      </c>
      <c r="I29" s="110">
        <v>94</v>
      </c>
      <c r="J29" s="66">
        <f t="shared" si="3"/>
        <v>2.7157351676698194</v>
      </c>
      <c r="K29" s="8">
        <f t="shared" si="4"/>
        <v>0.13055476766981933</v>
      </c>
      <c r="L29" s="8">
        <f t="shared" si="5"/>
        <v>0.043506267669819326</v>
      </c>
      <c r="M29" s="49"/>
      <c r="N29" s="66">
        <f>0.36*2/1.163</f>
        <v>0.6190885640584695</v>
      </c>
      <c r="O29" s="110">
        <v>94</v>
      </c>
      <c r="P29" s="66">
        <f t="shared" si="15"/>
        <v>0.5819432502149613</v>
      </c>
      <c r="Q29" s="119">
        <f t="shared" si="6"/>
        <v>-0.08518694978503871</v>
      </c>
      <c r="R29" s="119">
        <f t="shared" si="7"/>
        <v>-0.08518694978503871</v>
      </c>
      <c r="S29" s="49"/>
      <c r="T29" s="10">
        <v>2.350164</v>
      </c>
      <c r="U29" s="10">
        <v>0.606482</v>
      </c>
      <c r="V29" s="10">
        <f t="shared" si="8"/>
        <v>2.956646</v>
      </c>
      <c r="W29" s="66">
        <f t="shared" si="14"/>
        <v>3.2523106000000004</v>
      </c>
      <c r="X29" s="46">
        <f t="shared" si="2"/>
        <v>0.17147839999999936</v>
      </c>
      <c r="Y29" s="97"/>
      <c r="Z29" s="21">
        <v>0.079135</v>
      </c>
      <c r="AA29" s="21">
        <v>0</v>
      </c>
      <c r="AB29" s="10">
        <f t="shared" si="13"/>
        <v>0.079135</v>
      </c>
      <c r="AC29" s="8">
        <f t="shared" si="9"/>
        <v>0.0870485</v>
      </c>
      <c r="AD29" s="46">
        <f t="shared" si="11"/>
        <v>0.08442989999999936</v>
      </c>
      <c r="AE29" s="79">
        <f t="shared" si="10"/>
        <v>0.5306408999999997</v>
      </c>
      <c r="AF29" s="229"/>
      <c r="AG29" s="227"/>
    </row>
    <row r="30" spans="1:33" ht="12.75">
      <c r="A30" s="184">
        <v>14</v>
      </c>
      <c r="B30" s="186" t="s">
        <v>28</v>
      </c>
      <c r="C30" s="66">
        <v>0.688</v>
      </c>
      <c r="D30" s="74">
        <v>87.75</v>
      </c>
      <c r="E30" s="66">
        <f t="shared" si="0"/>
        <v>0.6037199999999999</v>
      </c>
      <c r="F30" s="49"/>
      <c r="G30" s="66">
        <f t="shared" si="12"/>
        <v>1.630266552020636</v>
      </c>
      <c r="H30" s="66">
        <f>0.8*2/1.163</f>
        <v>1.3757523645743766</v>
      </c>
      <c r="I30" s="110">
        <v>94</v>
      </c>
      <c r="J30" s="66">
        <f t="shared" si="3"/>
        <v>1.2932072226999138</v>
      </c>
      <c r="K30" s="8">
        <f t="shared" si="4"/>
        <v>0.7653216226999138</v>
      </c>
      <c r="L30" s="8">
        <f t="shared" si="5"/>
        <v>0.7653216226999138</v>
      </c>
      <c r="M30" s="49"/>
      <c r="N30" s="66">
        <f>(0.112+0.184)/1.163</f>
        <v>0.25451418744625964</v>
      </c>
      <c r="O30" s="110">
        <v>94</v>
      </c>
      <c r="P30" s="66">
        <f t="shared" si="15"/>
        <v>0.23924333619948407</v>
      </c>
      <c r="Q30" s="8">
        <f t="shared" si="6"/>
        <v>0.07846733619948404</v>
      </c>
      <c r="R30" s="8">
        <f t="shared" si="7"/>
        <v>0.07846733619948404</v>
      </c>
      <c r="S30" s="49"/>
      <c r="T30" s="10">
        <v>0.479896</v>
      </c>
      <c r="U30" s="10">
        <v>0.14616</v>
      </c>
      <c r="V30" s="10">
        <f t="shared" si="8"/>
        <v>0.626056</v>
      </c>
      <c r="W30" s="66">
        <f t="shared" si="14"/>
        <v>0.6886616</v>
      </c>
      <c r="X30" s="19">
        <f t="shared" si="2"/>
        <v>-0.08494160000000006</v>
      </c>
      <c r="Y30" s="97"/>
      <c r="Z30" s="21">
        <v>0</v>
      </c>
      <c r="AA30" s="21">
        <v>0</v>
      </c>
      <c r="AB30" s="10">
        <f t="shared" si="13"/>
        <v>0</v>
      </c>
      <c r="AC30" s="8">
        <f t="shared" si="9"/>
        <v>0</v>
      </c>
      <c r="AD30" s="19">
        <f t="shared" si="11"/>
        <v>-0.08494160000000006</v>
      </c>
      <c r="AE30" s="223">
        <f t="shared" si="10"/>
        <v>-0.0006616000000000399</v>
      </c>
      <c r="AF30" s="229"/>
      <c r="AG30" s="227"/>
    </row>
    <row r="31" spans="1:33" ht="12.75">
      <c r="A31" s="184">
        <v>15</v>
      </c>
      <c r="B31" s="186" t="s">
        <v>29</v>
      </c>
      <c r="C31" s="66">
        <v>0.2322</v>
      </c>
      <c r="D31" s="74">
        <v>88.24</v>
      </c>
      <c r="E31" s="66">
        <f t="shared" si="0"/>
        <v>0.20489327999999996</v>
      </c>
      <c r="F31" s="49"/>
      <c r="G31" s="110">
        <f t="shared" si="12"/>
        <v>0</v>
      </c>
      <c r="H31" s="110">
        <v>0</v>
      </c>
      <c r="I31" s="110">
        <v>0</v>
      </c>
      <c r="J31" s="110">
        <f t="shared" si="3"/>
        <v>0</v>
      </c>
      <c r="K31" s="114">
        <v>0</v>
      </c>
      <c r="L31" s="119">
        <f t="shared" si="5"/>
        <v>-0.17795470000000002</v>
      </c>
      <c r="M31" s="49"/>
      <c r="N31" s="110">
        <v>0</v>
      </c>
      <c r="O31" s="110">
        <v>0</v>
      </c>
      <c r="P31" s="110">
        <f t="shared" si="15"/>
        <v>0</v>
      </c>
      <c r="Q31" s="114">
        <f>P31-(U31+U31*10/100)</f>
        <v>0</v>
      </c>
      <c r="R31" s="8">
        <f t="shared" si="7"/>
        <v>0</v>
      </c>
      <c r="S31" s="49"/>
      <c r="T31" s="10">
        <v>0.161777</v>
      </c>
      <c r="U31" s="17">
        <v>0</v>
      </c>
      <c r="V31" s="10">
        <f t="shared" si="8"/>
        <v>0.161777</v>
      </c>
      <c r="W31" s="66">
        <f t="shared" si="14"/>
        <v>0.17795470000000002</v>
      </c>
      <c r="X31" s="46">
        <f t="shared" si="2"/>
        <v>0.026938579999999934</v>
      </c>
      <c r="Y31" s="97"/>
      <c r="Z31" s="21">
        <v>0</v>
      </c>
      <c r="AA31" s="21">
        <v>0</v>
      </c>
      <c r="AB31" s="10">
        <f t="shared" si="13"/>
        <v>0</v>
      </c>
      <c r="AC31" s="8">
        <f t="shared" si="9"/>
        <v>0</v>
      </c>
      <c r="AD31" s="46">
        <f t="shared" si="11"/>
        <v>0.026938579999999934</v>
      </c>
      <c r="AE31" s="79">
        <f t="shared" si="10"/>
        <v>0.05424529999999997</v>
      </c>
      <c r="AF31" s="229"/>
      <c r="AG31" s="227"/>
    </row>
    <row r="32" spans="1:33" ht="12.75">
      <c r="A32" s="188">
        <v>16</v>
      </c>
      <c r="B32" s="189" t="s">
        <v>30</v>
      </c>
      <c r="C32" s="64">
        <v>0.183</v>
      </c>
      <c r="D32" s="74">
        <v>86.43</v>
      </c>
      <c r="E32" s="64">
        <f t="shared" si="0"/>
        <v>0.1581669</v>
      </c>
      <c r="F32" s="50"/>
      <c r="G32" s="110">
        <v>0</v>
      </c>
      <c r="H32" s="110">
        <v>0</v>
      </c>
      <c r="I32" s="110">
        <v>0</v>
      </c>
      <c r="J32" s="110">
        <f t="shared" si="3"/>
        <v>0</v>
      </c>
      <c r="K32" s="114">
        <v>0</v>
      </c>
      <c r="L32" s="119">
        <f t="shared" si="5"/>
        <v>-0.1819686</v>
      </c>
      <c r="M32" s="50"/>
      <c r="N32" s="110">
        <v>0</v>
      </c>
      <c r="O32" s="110">
        <v>0</v>
      </c>
      <c r="P32" s="110">
        <f t="shared" si="15"/>
        <v>0</v>
      </c>
      <c r="Q32" s="114">
        <f>P32-(U32+U32*10/100)</f>
        <v>0</v>
      </c>
      <c r="R32" s="66">
        <f t="shared" si="7"/>
        <v>0</v>
      </c>
      <c r="S32" s="49"/>
      <c r="T32" s="10">
        <v>0.165426</v>
      </c>
      <c r="U32" s="10">
        <v>0</v>
      </c>
      <c r="V32" s="173">
        <f t="shared" si="8"/>
        <v>0.165426</v>
      </c>
      <c r="W32" s="66">
        <f t="shared" si="14"/>
        <v>0.1819686</v>
      </c>
      <c r="X32" s="19">
        <f t="shared" si="2"/>
        <v>-0.02380170000000001</v>
      </c>
      <c r="Y32" s="97"/>
      <c r="Z32" s="190">
        <v>0</v>
      </c>
      <c r="AA32" s="191">
        <v>0</v>
      </c>
      <c r="AB32" s="10">
        <f t="shared" si="13"/>
        <v>0</v>
      </c>
      <c r="AC32" s="8">
        <f t="shared" si="9"/>
        <v>0</v>
      </c>
      <c r="AD32" s="215">
        <f>E32-W32-AC32</f>
        <v>-0.02380170000000001</v>
      </c>
      <c r="AE32" s="79">
        <f t="shared" si="10"/>
        <v>0.0010313999999999879</v>
      </c>
      <c r="AF32" s="229"/>
      <c r="AG32" s="227"/>
    </row>
    <row r="33" spans="1:33" ht="12.75">
      <c r="A33" s="192">
        <v>17</v>
      </c>
      <c r="B33" s="193" t="s">
        <v>61</v>
      </c>
      <c r="C33" s="67">
        <v>2.76</v>
      </c>
      <c r="D33" s="74">
        <v>89.93</v>
      </c>
      <c r="E33" s="64">
        <f t="shared" si="0"/>
        <v>2.482068</v>
      </c>
      <c r="F33" s="50"/>
      <c r="G33" s="66">
        <f>H33+N33</f>
        <v>5.16079105760963</v>
      </c>
      <c r="H33" s="66">
        <f>3.001*2/1.163</f>
        <v>5.16079105760963</v>
      </c>
      <c r="I33" s="110">
        <v>94</v>
      </c>
      <c r="J33" s="66">
        <f>H33*I33/100</f>
        <v>4.851143594153052</v>
      </c>
      <c r="K33" s="8">
        <f>J33-V33*1.1</f>
        <v>3.0162775941530513</v>
      </c>
      <c r="L33" s="8">
        <f>J33-V33*1.1-AB33*1.1</f>
        <v>2.5466952941530514</v>
      </c>
      <c r="M33" s="49"/>
      <c r="N33" s="110">
        <v>0</v>
      </c>
      <c r="O33" s="110">
        <v>0</v>
      </c>
      <c r="P33" s="110">
        <f>N33*O33/100</f>
        <v>0</v>
      </c>
      <c r="Q33" s="114">
        <f>P33-(U33+U33*10/100)</f>
        <v>0</v>
      </c>
      <c r="R33" s="8">
        <v>0</v>
      </c>
      <c r="S33" s="50"/>
      <c r="T33" s="17">
        <v>1.66806</v>
      </c>
      <c r="U33" s="17">
        <v>0</v>
      </c>
      <c r="V33" s="17">
        <f t="shared" si="8"/>
        <v>1.66806</v>
      </c>
      <c r="W33" s="67">
        <f t="shared" si="14"/>
        <v>1.8348660000000003</v>
      </c>
      <c r="X33" s="112">
        <f t="shared" si="2"/>
        <v>0.6472019999999996</v>
      </c>
      <c r="Y33" s="98"/>
      <c r="Z33" s="39">
        <v>0.240307</v>
      </c>
      <c r="AA33" s="21">
        <v>0.186586</v>
      </c>
      <c r="AB33" s="10">
        <f t="shared" si="13"/>
        <v>0.42689299999999997</v>
      </c>
      <c r="AC33" s="112">
        <f t="shared" si="9"/>
        <v>0.4695823</v>
      </c>
      <c r="AD33" s="216">
        <f>E33-W33-AC33</f>
        <v>0.1776196999999996</v>
      </c>
      <c r="AE33" s="79">
        <f t="shared" si="10"/>
        <v>0.45555169999999945</v>
      </c>
      <c r="AF33" s="227"/>
      <c r="AG33" s="227"/>
    </row>
    <row r="34" spans="1:33" ht="27" customHeight="1">
      <c r="A34" s="299" t="s">
        <v>41</v>
      </c>
      <c r="B34" s="300"/>
      <c r="C34" s="13">
        <f>SUM(C17:C33)-C25</f>
        <v>85.80220000000003</v>
      </c>
      <c r="D34" s="14"/>
      <c r="E34" s="13">
        <f>SUM(E17:E33)-E25</f>
        <v>75.95409287999999</v>
      </c>
      <c r="F34" s="51"/>
      <c r="G34" s="115">
        <f t="shared" si="12"/>
        <v>111.83061049011178</v>
      </c>
      <c r="H34" s="68">
        <f>SUM(H17:H33)-H25</f>
        <v>90.43164230438522</v>
      </c>
      <c r="I34" s="68"/>
      <c r="J34" s="68">
        <f>SUM(J17:J33)-J25</f>
        <v>85.00574376612211</v>
      </c>
      <c r="K34" s="68">
        <f>SUM(K17:K33)-K25</f>
        <v>18.927028866122086</v>
      </c>
      <c r="L34" s="68">
        <f>SUM(L17:L33)-L25</f>
        <v>11.622573466122086</v>
      </c>
      <c r="M34" s="51"/>
      <c r="N34" s="68">
        <f>SUM(N17:N33)-N25</f>
        <v>21.398968185726567</v>
      </c>
      <c r="O34" s="68"/>
      <c r="P34" s="68">
        <f>SUM(P17:P33)-P25</f>
        <v>18.157678417884778</v>
      </c>
      <c r="Q34" s="68">
        <f>SUM(Q17:Q33)-Q25</f>
        <v>5.62257561788478</v>
      </c>
      <c r="R34" s="68">
        <f>SUM(R17:R33)-R25</f>
        <v>2.74089131788478</v>
      </c>
      <c r="S34" s="51"/>
      <c r="T34" s="68">
        <f>SUM(T17:T33)-T25</f>
        <v>60.39876199999999</v>
      </c>
      <c r="U34" s="68">
        <f>SUM(U17:U33)-U25</f>
        <v>11.395548</v>
      </c>
      <c r="V34" s="68">
        <f>SUM(V17:V33)-V25</f>
        <v>71.79431</v>
      </c>
      <c r="W34" s="68">
        <f>SUM(W17:W33)-W25</f>
        <v>78.97374100000002</v>
      </c>
      <c r="X34" s="212">
        <f>SUM(X17:X33)-X25</f>
        <v>-3.0196481200000056</v>
      </c>
      <c r="Y34" s="99"/>
      <c r="Z34" s="113">
        <f aca="true" t="shared" si="16" ref="Z34:AE34">SUM(Z17:Z33)-Z25</f>
        <v>6.126624999999999</v>
      </c>
      <c r="AA34" s="113">
        <f t="shared" si="16"/>
        <v>2.806299</v>
      </c>
      <c r="AB34" s="113">
        <f t="shared" si="16"/>
        <v>8.932924</v>
      </c>
      <c r="AC34" s="113">
        <f t="shared" si="16"/>
        <v>9.826216400000002</v>
      </c>
      <c r="AD34" s="217">
        <f t="shared" si="16"/>
        <v>-12.845864520000005</v>
      </c>
      <c r="AE34" s="224">
        <f t="shared" si="16"/>
        <v>-2.9977574000000073</v>
      </c>
      <c r="AF34" s="227"/>
      <c r="AG34" s="227"/>
    </row>
    <row r="35" spans="1:33" ht="12.75">
      <c r="A35" s="301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3"/>
      <c r="AF35" s="227"/>
      <c r="AG35" s="227"/>
    </row>
    <row r="36" spans="1:33" ht="18" customHeight="1">
      <c r="A36" s="291" t="s">
        <v>38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3"/>
      <c r="AF36" s="227"/>
      <c r="AG36" s="227"/>
    </row>
    <row r="37" spans="1:33" ht="12.75">
      <c r="A37" s="184"/>
      <c r="B37" s="194"/>
      <c r="C37" s="195"/>
      <c r="D37" s="196"/>
      <c r="E37" s="197"/>
      <c r="F37" s="198"/>
      <c r="G37" s="199"/>
      <c r="H37" s="199"/>
      <c r="I37" s="199"/>
      <c r="J37" s="199"/>
      <c r="K37" s="199"/>
      <c r="L37" s="199"/>
      <c r="M37" s="198"/>
      <c r="N37" s="199"/>
      <c r="O37" s="199"/>
      <c r="P37" s="199"/>
      <c r="Q37" s="199"/>
      <c r="R37" s="199"/>
      <c r="S37" s="198"/>
      <c r="T37" s="174"/>
      <c r="U37" s="174"/>
      <c r="V37" s="174"/>
      <c r="W37" s="197"/>
      <c r="X37" s="6"/>
      <c r="Y37" s="100"/>
      <c r="Z37" s="200"/>
      <c r="AA37" s="245"/>
      <c r="AB37" s="76"/>
      <c r="AC37" s="199"/>
      <c r="AD37" s="218"/>
      <c r="AE37" s="211"/>
      <c r="AF37" s="227"/>
      <c r="AG37" s="227"/>
    </row>
    <row r="38" spans="1:33" ht="12.75">
      <c r="A38" s="184">
        <v>18</v>
      </c>
      <c r="B38" s="186" t="s">
        <v>31</v>
      </c>
      <c r="C38" s="8">
        <v>2.28</v>
      </c>
      <c r="D38" s="73">
        <v>44.44</v>
      </c>
      <c r="E38" s="7">
        <f aca="true" t="shared" si="17" ref="E38:E44">C38*D38/100</f>
        <v>1.013232</v>
      </c>
      <c r="F38" s="52"/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52"/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52"/>
      <c r="T38" s="43">
        <v>1.402063</v>
      </c>
      <c r="U38" s="17"/>
      <c r="V38" s="10">
        <f aca="true" t="shared" si="18" ref="V38:V44">SUM(T38:U38)</f>
        <v>1.402063</v>
      </c>
      <c r="W38" s="10">
        <f aca="true" t="shared" si="19" ref="W38:W56">V38*1.1</f>
        <v>1.5422693000000003</v>
      </c>
      <c r="X38" s="20">
        <f aca="true" t="shared" si="20" ref="X38:X44">E38-W38</f>
        <v>-0.5290373000000004</v>
      </c>
      <c r="Y38" s="21"/>
      <c r="Z38" s="43">
        <v>0</v>
      </c>
      <c r="AA38" s="22"/>
      <c r="AB38" s="10">
        <f>Z38+AA38</f>
        <v>0</v>
      </c>
      <c r="AC38" s="10">
        <f aca="true" t="shared" si="21" ref="AC38:AC44">AB38*1.1</f>
        <v>0</v>
      </c>
      <c r="AD38" s="20">
        <f>E38-W38-AC38</f>
        <v>-0.5290373000000004</v>
      </c>
      <c r="AE38" s="79">
        <f>C38-W38-AC38</f>
        <v>0.7377306999999995</v>
      </c>
      <c r="AF38" s="227"/>
      <c r="AG38" s="227"/>
    </row>
    <row r="39" spans="1:33" ht="12.75">
      <c r="A39" s="184">
        <v>19</v>
      </c>
      <c r="B39" s="186" t="s">
        <v>32</v>
      </c>
      <c r="C39" s="66">
        <v>1.02</v>
      </c>
      <c r="D39" s="74">
        <v>43.03</v>
      </c>
      <c r="E39" s="7">
        <f t="shared" si="17"/>
        <v>0.438906</v>
      </c>
      <c r="F39" s="52"/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52"/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52"/>
      <c r="T39" s="10">
        <v>0.331882</v>
      </c>
      <c r="U39" s="76"/>
      <c r="V39" s="10">
        <f t="shared" si="18"/>
        <v>0.331882</v>
      </c>
      <c r="W39" s="10">
        <f t="shared" si="19"/>
        <v>0.36507020000000007</v>
      </c>
      <c r="X39" s="21">
        <f t="shared" si="20"/>
        <v>0.07383579999999995</v>
      </c>
      <c r="Y39" s="21"/>
      <c r="Z39" s="17">
        <v>0</v>
      </c>
      <c r="AA39" s="22"/>
      <c r="AB39" s="10">
        <f aca="true" t="shared" si="22" ref="AB39:AB44">Z39+AA39</f>
        <v>0</v>
      </c>
      <c r="AC39" s="10">
        <f t="shared" si="21"/>
        <v>0</v>
      </c>
      <c r="AD39" s="21">
        <f aca="true" t="shared" si="23" ref="AD39:AD44">E39-W39-AC39</f>
        <v>0.07383579999999995</v>
      </c>
      <c r="AE39" s="79">
        <f aca="true" t="shared" si="24" ref="AE39:AE47">C39-W39-AC39</f>
        <v>0.6549297999999999</v>
      </c>
      <c r="AF39" s="227"/>
      <c r="AG39" s="227"/>
    </row>
    <row r="40" spans="1:33" ht="12.75">
      <c r="A40" s="184">
        <v>20</v>
      </c>
      <c r="B40" s="186" t="s">
        <v>33</v>
      </c>
      <c r="C40" s="66">
        <v>1.379</v>
      </c>
      <c r="D40" s="74">
        <v>42.61</v>
      </c>
      <c r="E40" s="7">
        <f t="shared" si="17"/>
        <v>0.5875919</v>
      </c>
      <c r="F40" s="52"/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52"/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52"/>
      <c r="T40" s="10">
        <v>0.443446</v>
      </c>
      <c r="U40" s="76"/>
      <c r="V40" s="10">
        <f t="shared" si="18"/>
        <v>0.443446</v>
      </c>
      <c r="W40" s="10">
        <f t="shared" si="19"/>
        <v>0.4877906000000001</v>
      </c>
      <c r="X40" s="21">
        <f t="shared" si="20"/>
        <v>0.09980129999999987</v>
      </c>
      <c r="Y40" s="21"/>
      <c r="Z40" s="76">
        <v>1.087154</v>
      </c>
      <c r="AA40" s="22"/>
      <c r="AB40" s="10">
        <f t="shared" si="22"/>
        <v>1.087154</v>
      </c>
      <c r="AC40" s="10">
        <f t="shared" si="21"/>
        <v>1.1958694</v>
      </c>
      <c r="AD40" s="20">
        <f>E40-W40-AC40</f>
        <v>-1.0960681</v>
      </c>
      <c r="AE40" s="243">
        <f t="shared" si="24"/>
        <v>-0.30466000000000015</v>
      </c>
      <c r="AF40" s="227"/>
      <c r="AG40" s="227"/>
    </row>
    <row r="41" spans="1:33" ht="12.75">
      <c r="A41" s="184">
        <v>21</v>
      </c>
      <c r="B41" s="186" t="s">
        <v>34</v>
      </c>
      <c r="C41" s="66">
        <v>1.26</v>
      </c>
      <c r="D41" s="74">
        <v>42.19</v>
      </c>
      <c r="E41" s="7">
        <f t="shared" si="17"/>
        <v>0.531594</v>
      </c>
      <c r="F41" s="52"/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52"/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52"/>
      <c r="T41" s="10">
        <v>0.210877</v>
      </c>
      <c r="U41" s="10"/>
      <c r="V41" s="10">
        <f t="shared" si="18"/>
        <v>0.210877</v>
      </c>
      <c r="W41" s="10">
        <f t="shared" si="19"/>
        <v>0.23196470000000002</v>
      </c>
      <c r="X41" s="21">
        <f t="shared" si="20"/>
        <v>0.2996293</v>
      </c>
      <c r="Y41" s="21"/>
      <c r="Z41" s="76">
        <v>0.005195</v>
      </c>
      <c r="AA41" s="22"/>
      <c r="AB41" s="10">
        <f t="shared" si="22"/>
        <v>0.005195</v>
      </c>
      <c r="AC41" s="10">
        <f t="shared" si="21"/>
        <v>0.005714500000000001</v>
      </c>
      <c r="AD41" s="21">
        <f t="shared" si="23"/>
        <v>0.2939148</v>
      </c>
      <c r="AE41" s="79">
        <f t="shared" si="24"/>
        <v>1.0223208</v>
      </c>
      <c r="AF41" s="227"/>
      <c r="AG41" s="227"/>
    </row>
    <row r="42" spans="1:33" ht="12.75">
      <c r="A42" s="188">
        <v>22</v>
      </c>
      <c r="B42" s="186" t="s">
        <v>35</v>
      </c>
      <c r="C42" s="66">
        <v>1.095</v>
      </c>
      <c r="D42" s="74">
        <v>43.78</v>
      </c>
      <c r="E42" s="7">
        <f t="shared" si="17"/>
        <v>0.479391</v>
      </c>
      <c r="F42" s="52"/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52"/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52"/>
      <c r="T42" s="10">
        <v>0.209105</v>
      </c>
      <c r="U42" s="10"/>
      <c r="V42" s="10">
        <f t="shared" si="18"/>
        <v>0.209105</v>
      </c>
      <c r="W42" s="10">
        <f t="shared" si="19"/>
        <v>0.23001550000000004</v>
      </c>
      <c r="X42" s="21">
        <f t="shared" si="20"/>
        <v>0.24937549999999997</v>
      </c>
      <c r="Y42" s="21"/>
      <c r="Z42" s="76">
        <v>0</v>
      </c>
      <c r="AA42" s="22"/>
      <c r="AB42" s="10">
        <f t="shared" si="22"/>
        <v>0</v>
      </c>
      <c r="AC42" s="10">
        <f t="shared" si="21"/>
        <v>0</v>
      </c>
      <c r="AD42" s="21">
        <f t="shared" si="23"/>
        <v>0.24937549999999997</v>
      </c>
      <c r="AE42" s="79">
        <f t="shared" si="24"/>
        <v>0.8649844999999999</v>
      </c>
      <c r="AF42" s="227"/>
      <c r="AG42" s="227"/>
    </row>
    <row r="43" spans="1:33" ht="12.75">
      <c r="A43" s="188">
        <v>23</v>
      </c>
      <c r="B43" s="186" t="s">
        <v>36</v>
      </c>
      <c r="C43" s="66">
        <v>0.61</v>
      </c>
      <c r="D43" s="74">
        <v>47.41</v>
      </c>
      <c r="E43" s="7">
        <f t="shared" si="17"/>
        <v>0.289201</v>
      </c>
      <c r="F43" s="53"/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53"/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53"/>
      <c r="T43" s="76">
        <v>0.123941</v>
      </c>
      <c r="U43" s="10"/>
      <c r="V43" s="10">
        <f>SUM(T43:U43)</f>
        <v>0.123941</v>
      </c>
      <c r="W43" s="10">
        <f t="shared" si="19"/>
        <v>0.13633510000000001</v>
      </c>
      <c r="X43" s="21">
        <f t="shared" si="20"/>
        <v>0.15286589999999997</v>
      </c>
      <c r="Y43" s="22"/>
      <c r="Z43" s="76">
        <v>0</v>
      </c>
      <c r="AA43" s="22"/>
      <c r="AB43" s="10">
        <f t="shared" si="22"/>
        <v>0</v>
      </c>
      <c r="AC43" s="10">
        <f t="shared" si="21"/>
        <v>0</v>
      </c>
      <c r="AD43" s="21">
        <f>E43-W43-AC43</f>
        <v>0.15286589999999997</v>
      </c>
      <c r="AE43" s="79">
        <f t="shared" si="24"/>
        <v>0.47366489999999994</v>
      </c>
      <c r="AF43" s="227"/>
      <c r="AG43" s="227"/>
    </row>
    <row r="44" spans="1:33" ht="12.75">
      <c r="A44" s="188">
        <v>24</v>
      </c>
      <c r="B44" s="186" t="s">
        <v>37</v>
      </c>
      <c r="C44" s="66">
        <v>2</v>
      </c>
      <c r="D44" s="75">
        <v>51</v>
      </c>
      <c r="E44" s="7">
        <f t="shared" si="17"/>
        <v>1.02</v>
      </c>
      <c r="F44" s="52"/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52"/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52"/>
      <c r="T44" s="10">
        <v>0.603581</v>
      </c>
      <c r="U44" s="10"/>
      <c r="V44" s="10">
        <f t="shared" si="18"/>
        <v>0.603581</v>
      </c>
      <c r="W44" s="10">
        <f t="shared" si="19"/>
        <v>0.6639391000000001</v>
      </c>
      <c r="X44" s="21">
        <f t="shared" si="20"/>
        <v>0.3560608999999999</v>
      </c>
      <c r="Y44" s="22"/>
      <c r="Z44" s="76">
        <v>0</v>
      </c>
      <c r="AA44" s="22"/>
      <c r="AB44" s="10">
        <f t="shared" si="22"/>
        <v>0</v>
      </c>
      <c r="AC44" s="10">
        <f t="shared" si="21"/>
        <v>0</v>
      </c>
      <c r="AD44" s="21">
        <f t="shared" si="23"/>
        <v>0.3560608999999999</v>
      </c>
      <c r="AE44" s="79">
        <f t="shared" si="24"/>
        <v>1.3360608999999999</v>
      </c>
      <c r="AF44" s="227"/>
      <c r="AG44" s="227"/>
    </row>
    <row r="45" spans="1:33" ht="12.75">
      <c r="A45" s="188">
        <v>25</v>
      </c>
      <c r="B45" s="189" t="s">
        <v>23</v>
      </c>
      <c r="C45" s="64">
        <v>1.12</v>
      </c>
      <c r="D45" s="73">
        <v>46.1</v>
      </c>
      <c r="E45" s="210">
        <f>C45*D45/100</f>
        <v>0.51632</v>
      </c>
      <c r="F45" s="53"/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53"/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52"/>
      <c r="T45" s="10">
        <v>0.31692</v>
      </c>
      <c r="U45" s="10"/>
      <c r="V45" s="10">
        <f>SUM(T45:U45)</f>
        <v>0.31692</v>
      </c>
      <c r="W45" s="10">
        <f>V45*1.1</f>
        <v>0.34861200000000003</v>
      </c>
      <c r="X45" s="10">
        <f>E45-W45</f>
        <v>0.16770799999999997</v>
      </c>
      <c r="Y45" s="22"/>
      <c r="Z45" s="76">
        <v>0</v>
      </c>
      <c r="AA45" s="22"/>
      <c r="AB45" s="10">
        <f>Z45+AA45</f>
        <v>0</v>
      </c>
      <c r="AC45" s="10">
        <f>AB45*1.1</f>
        <v>0</v>
      </c>
      <c r="AD45" s="22">
        <f>E45-W45-AC45</f>
        <v>0.16770799999999997</v>
      </c>
      <c r="AE45" s="79">
        <f t="shared" si="24"/>
        <v>0.7713880000000001</v>
      </c>
      <c r="AF45" s="227"/>
      <c r="AG45" s="227"/>
    </row>
    <row r="46" spans="1:33" ht="12.75">
      <c r="A46" s="188">
        <v>26</v>
      </c>
      <c r="B46" s="189" t="s">
        <v>78</v>
      </c>
      <c r="C46" s="201">
        <v>1.94</v>
      </c>
      <c r="D46" s="123">
        <v>57.38</v>
      </c>
      <c r="E46" s="210">
        <f>C46*D46/100</f>
        <v>1.113172</v>
      </c>
      <c r="F46" s="53"/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53"/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75"/>
      <c r="T46" s="163">
        <v>0.309196</v>
      </c>
      <c r="U46" s="163"/>
      <c r="V46" s="10">
        <f>SUM(T46:U46)</f>
        <v>0.309196</v>
      </c>
      <c r="W46" s="10">
        <f>V46*1.1</f>
        <v>0.3401156000000001</v>
      </c>
      <c r="X46" s="176">
        <f>E46-W46</f>
        <v>0.7730564</v>
      </c>
      <c r="Y46" s="228"/>
      <c r="Z46" s="76">
        <v>0.773</v>
      </c>
      <c r="AA46" s="22"/>
      <c r="AB46" s="10">
        <f>Z46+AA46</f>
        <v>0.773</v>
      </c>
      <c r="AC46" s="10">
        <f>AB46*1.1</f>
        <v>0.8503000000000001</v>
      </c>
      <c r="AD46" s="242">
        <f>E46-W46-AC46</f>
        <v>-0.07724360000000008</v>
      </c>
      <c r="AE46" s="79">
        <f t="shared" si="24"/>
        <v>0.7495843999999998</v>
      </c>
      <c r="AF46" s="227"/>
      <c r="AG46" s="227"/>
    </row>
    <row r="47" spans="1:33" ht="12.75">
      <c r="A47" s="188">
        <v>27</v>
      </c>
      <c r="B47" s="189" t="s">
        <v>79</v>
      </c>
      <c r="C47" s="201">
        <v>4.14</v>
      </c>
      <c r="D47" s="123">
        <v>60.37</v>
      </c>
      <c r="E47" s="210">
        <f>C47*D47/100</f>
        <v>2.4993179999999997</v>
      </c>
      <c r="F47" s="53"/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53"/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52"/>
      <c r="T47" s="163">
        <v>0.979165</v>
      </c>
      <c r="U47" s="163"/>
      <c r="V47" s="10">
        <f>SUM(T47:U47)</f>
        <v>0.979165</v>
      </c>
      <c r="W47" s="10">
        <f>V47*1.1</f>
        <v>1.0770815</v>
      </c>
      <c r="X47" s="90">
        <f>E47-W47</f>
        <v>1.4222364999999997</v>
      </c>
      <c r="Y47" s="22"/>
      <c r="Z47" s="76">
        <v>0</v>
      </c>
      <c r="AA47" s="22"/>
      <c r="AB47" s="10">
        <f>Z47+AA47</f>
        <v>0</v>
      </c>
      <c r="AC47" s="10">
        <f>AB47*1.1</f>
        <v>0</v>
      </c>
      <c r="AD47" s="22">
        <f>E47-W47-AC47</f>
        <v>1.4222364999999997</v>
      </c>
      <c r="AE47" s="79">
        <f t="shared" si="24"/>
        <v>3.0629184999999994</v>
      </c>
      <c r="AF47" s="227"/>
      <c r="AG47" s="227"/>
    </row>
    <row r="48" spans="1:33" ht="12.75">
      <c r="A48" s="188">
        <v>28</v>
      </c>
      <c r="B48" s="202" t="s">
        <v>80</v>
      </c>
      <c r="C48" s="203"/>
      <c r="D48" s="128"/>
      <c r="E48" s="125"/>
      <c r="F48" s="53"/>
      <c r="G48" s="129"/>
      <c r="H48" s="129"/>
      <c r="I48" s="129"/>
      <c r="J48" s="129"/>
      <c r="K48" s="129"/>
      <c r="L48" s="129"/>
      <c r="M48" s="53"/>
      <c r="N48" s="129"/>
      <c r="O48" s="129"/>
      <c r="P48" s="129"/>
      <c r="Q48" s="129"/>
      <c r="R48" s="129"/>
      <c r="S48" s="56"/>
      <c r="T48" s="208">
        <v>4.160129</v>
      </c>
      <c r="U48" s="208"/>
      <c r="V48" s="207">
        <f>SUM(T48:U48)</f>
        <v>4.160129</v>
      </c>
      <c r="W48" s="207">
        <f>V48*1.1</f>
        <v>4.5761419000000005</v>
      </c>
      <c r="X48" s="177"/>
      <c r="Y48" s="101"/>
      <c r="Z48" s="125">
        <v>0</v>
      </c>
      <c r="AA48" s="177"/>
      <c r="AB48" s="206">
        <f>Z48+AA48</f>
        <v>0</v>
      </c>
      <c r="AC48" s="206">
        <f>AB48*1.1</f>
        <v>0</v>
      </c>
      <c r="AD48" s="177"/>
      <c r="AE48" s="209"/>
      <c r="AF48" s="229"/>
      <c r="AG48" s="227"/>
    </row>
    <row r="49" spans="1:33" ht="27" customHeight="1">
      <c r="A49" s="248" t="s">
        <v>42</v>
      </c>
      <c r="B49" s="249"/>
      <c r="C49" s="12">
        <f>SUM(C38:C48)-C48</f>
        <v>16.843999999999998</v>
      </c>
      <c r="D49" s="12"/>
      <c r="E49" s="12">
        <f>SUM(E38:E48)-E48</f>
        <v>8.488725899999999</v>
      </c>
      <c r="F49" s="54"/>
      <c r="G49" s="45">
        <f>SUM(G38:G48)-G48</f>
        <v>0</v>
      </c>
      <c r="H49" s="45">
        <f>SUM(H38:H48)</f>
        <v>0</v>
      </c>
      <c r="I49" s="45"/>
      <c r="J49" s="45">
        <f>SUM(J38:J48)</f>
        <v>0</v>
      </c>
      <c r="K49" s="45">
        <f>SUM(K38:K48)</f>
        <v>0</v>
      </c>
      <c r="L49" s="45">
        <f>SUM(L38:L48)</f>
        <v>0</v>
      </c>
      <c r="M49" s="54"/>
      <c r="N49" s="45">
        <f>SUM(N38:N48)</f>
        <v>0</v>
      </c>
      <c r="O49" s="45"/>
      <c r="P49" s="45">
        <f>SUM(P38:P48)</f>
        <v>0</v>
      </c>
      <c r="Q49" s="45">
        <f>SUM(Q38:Q48)</f>
        <v>0</v>
      </c>
      <c r="R49" s="45">
        <f>SUM(R38:R48)</f>
        <v>0</v>
      </c>
      <c r="S49" s="54"/>
      <c r="T49" s="45">
        <f>SUM(T38:T48)-T48</f>
        <v>4.930176</v>
      </c>
      <c r="U49" s="45">
        <f>SUM(U38:U48)-U48</f>
        <v>0</v>
      </c>
      <c r="V49" s="45">
        <f>SUM(V38:V48)-V48</f>
        <v>4.930176</v>
      </c>
      <c r="W49" s="45">
        <f>SUM(W38:W48)-W48</f>
        <v>5.4231936</v>
      </c>
      <c r="X49" s="45">
        <f>SUM(X38:X48)-X48</f>
        <v>3.065532299999999</v>
      </c>
      <c r="Y49" s="102"/>
      <c r="Z49" s="95">
        <f aca="true" t="shared" si="25" ref="Z49:AE49">SUM(Z38:Z48)-Z48</f>
        <v>1.8653490000000001</v>
      </c>
      <c r="AA49" s="95">
        <f t="shared" si="25"/>
        <v>0</v>
      </c>
      <c r="AB49" s="95">
        <f t="shared" si="25"/>
        <v>1.8653490000000001</v>
      </c>
      <c r="AC49" s="95">
        <f t="shared" si="25"/>
        <v>2.0518839</v>
      </c>
      <c r="AD49" s="95">
        <f t="shared" si="25"/>
        <v>1.0136483999999988</v>
      </c>
      <c r="AE49" s="45">
        <f t="shared" si="25"/>
        <v>9.368922499999996</v>
      </c>
      <c r="AF49" s="227"/>
      <c r="AG49" s="227"/>
    </row>
    <row r="50" spans="1:33" ht="12" customHeight="1">
      <c r="A50" s="252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4"/>
      <c r="AF50" s="227"/>
      <c r="AG50" s="227"/>
    </row>
    <row r="51" spans="1:33" ht="41.25" customHeight="1">
      <c r="A51" s="26" t="s">
        <v>81</v>
      </c>
      <c r="B51" s="25" t="s">
        <v>52</v>
      </c>
      <c r="C51" s="79">
        <v>43</v>
      </c>
      <c r="D51" s="44" t="s">
        <v>56</v>
      </c>
      <c r="E51" s="27">
        <v>41.917</v>
      </c>
      <c r="F51" s="55"/>
      <c r="G51" s="40"/>
      <c r="H51" s="40"/>
      <c r="I51" s="40"/>
      <c r="J51" s="40"/>
      <c r="K51" s="40"/>
      <c r="L51" s="40"/>
      <c r="M51" s="55"/>
      <c r="N51" s="40"/>
      <c r="O51" s="40"/>
      <c r="P51" s="40"/>
      <c r="Q51" s="40"/>
      <c r="R51" s="27"/>
      <c r="S51" s="55"/>
      <c r="T51" s="40">
        <f>3.70407+4.961299</f>
        <v>8.665369</v>
      </c>
      <c r="U51" s="40"/>
      <c r="V51" s="40">
        <f aca="true" t="shared" si="26" ref="V51:V56">SUM(T51:U51)</f>
        <v>8.665369</v>
      </c>
      <c r="W51" s="40">
        <f t="shared" si="19"/>
        <v>9.531905900000002</v>
      </c>
      <c r="X51" s="40"/>
      <c r="Y51" s="81"/>
      <c r="Z51" s="81">
        <v>1.88553</v>
      </c>
      <c r="AA51" s="81">
        <v>0</v>
      </c>
      <c r="AB51" s="81">
        <f aca="true" t="shared" si="27" ref="AB51:AB56">Z51+AA51</f>
        <v>1.88553</v>
      </c>
      <c r="AC51" s="40">
        <f aca="true" t="shared" si="28" ref="AC51:AC56">AB51*1.1</f>
        <v>2.074083</v>
      </c>
      <c r="AD51" s="81"/>
      <c r="AE51" s="79">
        <f>C51-W51-AC51</f>
        <v>31.3940111</v>
      </c>
      <c r="AF51" s="227"/>
      <c r="AG51" s="227"/>
    </row>
    <row r="52" spans="1:33" ht="12.75">
      <c r="A52" s="34" t="s">
        <v>82</v>
      </c>
      <c r="B52" s="29" t="s">
        <v>47</v>
      </c>
      <c r="C52" s="83">
        <v>13.05</v>
      </c>
      <c r="D52" s="84">
        <v>70</v>
      </c>
      <c r="E52" s="9">
        <f>C52*D52/100</f>
        <v>9.135</v>
      </c>
      <c r="F52" s="56"/>
      <c r="G52" s="67">
        <f>H52+N52</f>
        <v>13.05</v>
      </c>
      <c r="H52" s="67">
        <v>6.525</v>
      </c>
      <c r="I52" s="109">
        <v>70</v>
      </c>
      <c r="J52" s="67">
        <f>H52*I52/100</f>
        <v>4.5675</v>
      </c>
      <c r="K52" s="67">
        <f>J52-T52*1.1</f>
        <v>0.03857779999999966</v>
      </c>
      <c r="L52" s="226">
        <f>J52-T52*1.1-Z52*1.1</f>
        <v>-0.6595702000000004</v>
      </c>
      <c r="M52" s="50"/>
      <c r="N52" s="67">
        <v>6.525</v>
      </c>
      <c r="O52" s="109">
        <v>70</v>
      </c>
      <c r="P52" s="67">
        <f>N52*O52/100</f>
        <v>4.5675</v>
      </c>
      <c r="Q52" s="67">
        <f>P52-U52*1.1</f>
        <v>3.5847995999999998</v>
      </c>
      <c r="R52" s="7">
        <f>P52-U52*1.1-AA52*1.1</f>
        <v>3.2992396</v>
      </c>
      <c r="S52" s="56"/>
      <c r="T52" s="85">
        <v>4.117202</v>
      </c>
      <c r="U52" s="86">
        <v>0.893364</v>
      </c>
      <c r="V52" s="85">
        <f t="shared" si="26"/>
        <v>5.010566</v>
      </c>
      <c r="W52" s="43">
        <f t="shared" si="19"/>
        <v>5.5116226</v>
      </c>
      <c r="X52" s="178">
        <f aca="true" t="shared" si="29" ref="X52:X58">E52-W52</f>
        <v>3.6233774</v>
      </c>
      <c r="Y52" s="178"/>
      <c r="Z52" s="178">
        <v>0.63468</v>
      </c>
      <c r="AA52" s="178">
        <v>0.2596</v>
      </c>
      <c r="AB52" s="85">
        <f t="shared" si="27"/>
        <v>0.89428</v>
      </c>
      <c r="AC52" s="85">
        <f t="shared" si="28"/>
        <v>0.983708</v>
      </c>
      <c r="AD52" s="87">
        <f aca="true" t="shared" si="30" ref="AD52:AD57">E52-W52-AC52</f>
        <v>2.6396694</v>
      </c>
      <c r="AE52" s="79">
        <f aca="true" t="shared" si="31" ref="AE52:AE57">C52-W52-AC52</f>
        <v>6.554669400000001</v>
      </c>
      <c r="AF52" s="227"/>
      <c r="AG52" s="227"/>
    </row>
    <row r="53" spans="1:32" ht="12.75">
      <c r="A53" s="35" t="s">
        <v>83</v>
      </c>
      <c r="B53" s="30" t="s">
        <v>48</v>
      </c>
      <c r="C53" s="66">
        <v>11.418</v>
      </c>
      <c r="D53" s="84">
        <v>70</v>
      </c>
      <c r="E53" s="9">
        <f>C53*D53/100</f>
        <v>7.9925999999999995</v>
      </c>
      <c r="F53" s="52"/>
      <c r="G53" s="66">
        <f>H53+N53</f>
        <v>11.418</v>
      </c>
      <c r="H53" s="66">
        <v>6.525</v>
      </c>
      <c r="I53" s="110">
        <v>70</v>
      </c>
      <c r="J53" s="66">
        <f>H53*I53/100</f>
        <v>4.5675</v>
      </c>
      <c r="K53" s="117">
        <f>J53-T53*1.1</f>
        <v>-1.9288569000000004</v>
      </c>
      <c r="L53" s="117">
        <f>J53-T53*1.1-Z53*1.1</f>
        <v>-1.9288569000000004</v>
      </c>
      <c r="M53" s="49"/>
      <c r="N53" s="66">
        <v>4.893</v>
      </c>
      <c r="O53" s="110">
        <v>70</v>
      </c>
      <c r="P53" s="66">
        <f>N53*O53/100</f>
        <v>3.4251</v>
      </c>
      <c r="Q53" s="66">
        <f>P53-U53*1.1</f>
        <v>2.2898142</v>
      </c>
      <c r="R53" s="7">
        <f>P53-U53*1.1-AA53*1.1</f>
        <v>2.2898142</v>
      </c>
      <c r="S53" s="52"/>
      <c r="T53" s="10">
        <v>5.905779</v>
      </c>
      <c r="U53" s="10">
        <v>1.032078</v>
      </c>
      <c r="V53" s="10">
        <f t="shared" si="26"/>
        <v>6.937857</v>
      </c>
      <c r="W53" s="10">
        <f t="shared" si="19"/>
        <v>7.6316427000000004</v>
      </c>
      <c r="X53" s="39">
        <f t="shared" si="29"/>
        <v>0.36095729999999904</v>
      </c>
      <c r="Y53" s="39"/>
      <c r="Z53" s="39">
        <v>0</v>
      </c>
      <c r="AA53" s="10">
        <v>0</v>
      </c>
      <c r="AB53" s="191">
        <f t="shared" si="27"/>
        <v>0</v>
      </c>
      <c r="AC53" s="10">
        <f t="shared" si="28"/>
        <v>0</v>
      </c>
      <c r="AD53" s="21">
        <f t="shared" si="30"/>
        <v>0.36095729999999904</v>
      </c>
      <c r="AE53" s="79">
        <f t="shared" si="31"/>
        <v>3.786357299999999</v>
      </c>
      <c r="AF53" s="227"/>
    </row>
    <row r="54" spans="1:32" ht="12.75">
      <c r="A54" s="36" t="s">
        <v>84</v>
      </c>
      <c r="B54" s="31" t="s">
        <v>49</v>
      </c>
      <c r="C54" s="66">
        <v>21.752</v>
      </c>
      <c r="D54" s="84">
        <v>70</v>
      </c>
      <c r="E54" s="9">
        <f>C54*D54/100</f>
        <v>15.226399999999998</v>
      </c>
      <c r="F54" s="56"/>
      <c r="G54" s="67">
        <f>H54+N54</f>
        <v>21.75236457437661</v>
      </c>
      <c r="H54" s="67">
        <f>(2.53*5+3.162)/1.163</f>
        <v>13.595872742906275</v>
      </c>
      <c r="I54" s="110">
        <v>70</v>
      </c>
      <c r="J54" s="66">
        <f>H54*I54/100</f>
        <v>9.517110920034392</v>
      </c>
      <c r="K54" s="117">
        <f>J54-T54*1.1</f>
        <v>-3.9325956799656083</v>
      </c>
      <c r="L54" s="117">
        <f>J54-T54*1.1-Z54*1.1</f>
        <v>-3.9541259799656086</v>
      </c>
      <c r="M54" s="50"/>
      <c r="N54" s="67">
        <f>(6.324+3.162)/1.163</f>
        <v>8.156491831470335</v>
      </c>
      <c r="O54" s="110">
        <v>70</v>
      </c>
      <c r="P54" s="66">
        <f>N54*O54/100</f>
        <v>5.709544282029235</v>
      </c>
      <c r="Q54" s="66">
        <f>P54-U54*1.1</f>
        <v>4.083896082029234</v>
      </c>
      <c r="R54" s="7">
        <f>P54-U54*1.1-AA54*1.1</f>
        <v>4.083896082029234</v>
      </c>
      <c r="S54" s="56"/>
      <c r="T54" s="17">
        <v>12.227006</v>
      </c>
      <c r="U54" s="17">
        <v>1.477862</v>
      </c>
      <c r="V54" s="10">
        <f t="shared" si="26"/>
        <v>13.704868</v>
      </c>
      <c r="W54" s="10">
        <f t="shared" si="19"/>
        <v>15.075354800000001</v>
      </c>
      <c r="X54" s="10">
        <f t="shared" si="29"/>
        <v>0.15104519999999688</v>
      </c>
      <c r="Y54" s="191"/>
      <c r="Z54" s="21">
        <v>0.019573</v>
      </c>
      <c r="AA54" s="10">
        <v>0</v>
      </c>
      <c r="AB54" s="205">
        <f t="shared" si="27"/>
        <v>0.019573</v>
      </c>
      <c r="AC54" s="17">
        <f t="shared" si="28"/>
        <v>0.021530300000000002</v>
      </c>
      <c r="AD54" s="90">
        <f t="shared" si="30"/>
        <v>0.12951489999999688</v>
      </c>
      <c r="AE54" s="79">
        <f t="shared" si="31"/>
        <v>6.655114899999997</v>
      </c>
      <c r="AF54" s="227"/>
    </row>
    <row r="55" spans="1:32" ht="12.75">
      <c r="A55" s="36" t="s">
        <v>85</v>
      </c>
      <c r="B55" s="30" t="s">
        <v>50</v>
      </c>
      <c r="C55" s="66">
        <v>10.875</v>
      </c>
      <c r="D55" s="84">
        <v>70</v>
      </c>
      <c r="E55" s="9">
        <f>C55*D55/100</f>
        <v>7.6125</v>
      </c>
      <c r="F55" s="52"/>
      <c r="G55" s="66">
        <f>H55+N55</f>
        <v>10.875</v>
      </c>
      <c r="H55" s="110">
        <v>0</v>
      </c>
      <c r="I55" s="110">
        <v>0</v>
      </c>
      <c r="J55" s="110">
        <v>0</v>
      </c>
      <c r="K55" s="110">
        <f>J55-T55*1.1</f>
        <v>0</v>
      </c>
      <c r="L55" s="66">
        <f>J55-T55*1.1-Z55*1.1</f>
        <v>0</v>
      </c>
      <c r="M55" s="49"/>
      <c r="N55" s="66">
        <v>10.875</v>
      </c>
      <c r="O55" s="110">
        <v>70</v>
      </c>
      <c r="P55" s="66">
        <f>N55*O55/100</f>
        <v>7.6125</v>
      </c>
      <c r="Q55" s="66">
        <f>P55-U55*1.1</f>
        <v>6.0729818</v>
      </c>
      <c r="R55" s="7">
        <f>P55-U55*1.1-AA55*1.1</f>
        <v>6.0729818</v>
      </c>
      <c r="S55" s="52"/>
      <c r="T55" s="10">
        <v>0</v>
      </c>
      <c r="U55" s="76">
        <v>1.399562</v>
      </c>
      <c r="V55" s="17">
        <f t="shared" si="26"/>
        <v>1.399562</v>
      </c>
      <c r="W55" s="21">
        <f t="shared" si="19"/>
        <v>1.5395182</v>
      </c>
      <c r="X55" s="179">
        <f t="shared" si="29"/>
        <v>6.0729818</v>
      </c>
      <c r="Y55" s="21"/>
      <c r="Z55" s="10">
        <v>0</v>
      </c>
      <c r="AA55" s="204">
        <v>0</v>
      </c>
      <c r="AB55" s="191">
        <f t="shared" si="27"/>
        <v>0</v>
      </c>
      <c r="AC55" s="10">
        <f t="shared" si="28"/>
        <v>0</v>
      </c>
      <c r="AD55" s="21">
        <f t="shared" si="30"/>
        <v>6.0729818</v>
      </c>
      <c r="AE55" s="79">
        <f t="shared" si="31"/>
        <v>9.3354818</v>
      </c>
      <c r="AF55" s="227"/>
    </row>
    <row r="56" spans="1:32" ht="12.75">
      <c r="A56" s="37" t="s">
        <v>86</v>
      </c>
      <c r="B56" s="31" t="s">
        <v>51</v>
      </c>
      <c r="C56" s="67">
        <v>10.331</v>
      </c>
      <c r="D56" s="84">
        <v>70</v>
      </c>
      <c r="E56" s="15">
        <f>C56*D56/100</f>
        <v>7.2317</v>
      </c>
      <c r="F56" s="56"/>
      <c r="G56" s="67">
        <f>H56+N56</f>
        <v>10.331</v>
      </c>
      <c r="H56" s="67">
        <v>5.438</v>
      </c>
      <c r="I56" s="111">
        <v>70</v>
      </c>
      <c r="J56" s="64">
        <f>H56*I56/100</f>
        <v>3.8065999999999995</v>
      </c>
      <c r="K56" s="64">
        <f>J56-T56*1.1</f>
        <v>1.3599304999999995</v>
      </c>
      <c r="L56" s="117">
        <f>J56-T56*1.1-Z56*1.1</f>
        <v>-0.41106950000000086</v>
      </c>
      <c r="M56" s="50"/>
      <c r="N56" s="67">
        <v>4.893</v>
      </c>
      <c r="O56" s="111">
        <v>70</v>
      </c>
      <c r="P56" s="64">
        <f>N56*O56/100</f>
        <v>3.4251</v>
      </c>
      <c r="Q56" s="64">
        <f>P56-U56*1.1</f>
        <v>3.1322998</v>
      </c>
      <c r="R56" s="7">
        <f>P56-U56*1.1-AA56*1.1</f>
        <v>3.0031554000000003</v>
      </c>
      <c r="S56" s="56"/>
      <c r="T56" s="17">
        <v>2.224245</v>
      </c>
      <c r="U56" s="76">
        <v>0.266182</v>
      </c>
      <c r="V56" s="76">
        <f t="shared" si="26"/>
        <v>2.490427</v>
      </c>
      <c r="W56" s="76">
        <f t="shared" si="19"/>
        <v>2.7394697000000003</v>
      </c>
      <c r="X56" s="90">
        <f t="shared" si="29"/>
        <v>4.492230299999999</v>
      </c>
      <c r="Y56" s="90"/>
      <c r="Z56" s="154">
        <v>1.61</v>
      </c>
      <c r="AA56" s="205">
        <v>0.117404</v>
      </c>
      <c r="AB56" s="90">
        <f t="shared" si="27"/>
        <v>1.7274040000000002</v>
      </c>
      <c r="AC56" s="17">
        <f t="shared" si="28"/>
        <v>1.9001444000000003</v>
      </c>
      <c r="AD56" s="90">
        <f t="shared" si="30"/>
        <v>2.592085899999999</v>
      </c>
      <c r="AE56" s="79">
        <f t="shared" si="31"/>
        <v>5.691385899999998</v>
      </c>
      <c r="AF56" s="227"/>
    </row>
    <row r="57" spans="1:32" ht="12.75">
      <c r="A57" s="38"/>
      <c r="B57" s="26" t="s">
        <v>55</v>
      </c>
      <c r="C57" s="79">
        <f>SUM(C52:C56)</f>
        <v>67.426</v>
      </c>
      <c r="D57" s="107"/>
      <c r="E57" s="70">
        <f>SUM(E52:E56)</f>
        <v>47.1982</v>
      </c>
      <c r="F57" s="104"/>
      <c r="G57" s="105">
        <f>SUM(G52:G56)</f>
        <v>67.4263645743766</v>
      </c>
      <c r="H57" s="105">
        <f>SUM(H52:H56)</f>
        <v>32.08387274290628</v>
      </c>
      <c r="I57" s="105"/>
      <c r="J57" s="105">
        <f>SUM(J52:J56)</f>
        <v>22.45871092003439</v>
      </c>
      <c r="K57" s="118">
        <f>SUM(K52:K56)</f>
        <v>-4.46294427996561</v>
      </c>
      <c r="L57" s="118">
        <f>SUM(L52:L56)</f>
        <v>-6.95362257996561</v>
      </c>
      <c r="M57" s="106"/>
      <c r="N57" s="105">
        <f>SUM(N52:N56)</f>
        <v>35.34249183147033</v>
      </c>
      <c r="O57" s="105"/>
      <c r="P57" s="105">
        <f>SUM(P52:P56)</f>
        <v>24.739744282029235</v>
      </c>
      <c r="Q57" s="105">
        <f>SUM(Q52:Q56)</f>
        <v>19.163791482029232</v>
      </c>
      <c r="R57" s="103">
        <f>SUM(R52:R56)</f>
        <v>18.749087082029234</v>
      </c>
      <c r="S57" s="104"/>
      <c r="T57" s="108">
        <f aca="true" t="shared" si="32" ref="T57:AC57">SUM(T52:T56)</f>
        <v>24.474231999999997</v>
      </c>
      <c r="U57" s="108">
        <f t="shared" si="32"/>
        <v>5.0690479999999996</v>
      </c>
      <c r="V57" s="108">
        <f t="shared" si="32"/>
        <v>29.54328</v>
      </c>
      <c r="W57" s="108">
        <f t="shared" si="32"/>
        <v>32.497608</v>
      </c>
      <c r="X57" s="108">
        <f t="shared" si="29"/>
        <v>14.700592</v>
      </c>
      <c r="Y57" s="108"/>
      <c r="Z57" s="108">
        <f>SUM(Z52:Z56)</f>
        <v>2.264253</v>
      </c>
      <c r="AA57" s="108">
        <f>SUM(AA52:AA56)</f>
        <v>0.377004</v>
      </c>
      <c r="AB57" s="108">
        <f t="shared" si="32"/>
        <v>2.641257</v>
      </c>
      <c r="AC57" s="70">
        <f t="shared" si="32"/>
        <v>2.9053827000000005</v>
      </c>
      <c r="AD57" s="219">
        <f t="shared" si="30"/>
        <v>11.7952093</v>
      </c>
      <c r="AE57" s="105">
        <f t="shared" si="31"/>
        <v>32.0230093</v>
      </c>
      <c r="AF57" s="4"/>
    </row>
    <row r="58" spans="1:31" ht="26.25" customHeight="1">
      <c r="A58" s="248" t="s">
        <v>53</v>
      </c>
      <c r="B58" s="249"/>
      <c r="C58" s="45">
        <f>C51</f>
        <v>43</v>
      </c>
      <c r="D58" s="11"/>
      <c r="E58" s="32">
        <f>E51</f>
        <v>41.917</v>
      </c>
      <c r="F58" s="57"/>
      <c r="G58" s="69"/>
      <c r="H58" s="69"/>
      <c r="I58" s="69"/>
      <c r="J58" s="69"/>
      <c r="K58" s="69"/>
      <c r="L58" s="69"/>
      <c r="M58" s="57"/>
      <c r="N58" s="69"/>
      <c r="O58" s="69"/>
      <c r="P58" s="69"/>
      <c r="Q58" s="69"/>
      <c r="R58" s="32"/>
      <c r="S58" s="57"/>
      <c r="T58" s="12">
        <f>T51+T57</f>
        <v>33.139601</v>
      </c>
      <c r="U58" s="12">
        <f>U51+U57</f>
        <v>5.0690479999999996</v>
      </c>
      <c r="V58" s="12">
        <f>V51+V57</f>
        <v>38.208649</v>
      </c>
      <c r="W58" s="12">
        <f>W51+W57</f>
        <v>42.0295139</v>
      </c>
      <c r="X58" s="41">
        <f t="shared" si="29"/>
        <v>-0.11251389999999617</v>
      </c>
      <c r="Y58" s="102"/>
      <c r="Z58" s="95">
        <f>Z57+Z51</f>
        <v>4.149783</v>
      </c>
      <c r="AA58" s="95">
        <f>AA57+AA51</f>
        <v>0.377004</v>
      </c>
      <c r="AB58" s="33">
        <f>AB51+AB57</f>
        <v>4.526787</v>
      </c>
      <c r="AC58" s="28">
        <f>AC51+AC57</f>
        <v>4.9794657</v>
      </c>
      <c r="AD58" s="220">
        <f>E58-W58-AC58</f>
        <v>-5.091979599999997</v>
      </c>
      <c r="AE58" s="225">
        <f>C58-W58-AC58</f>
        <v>-4.008979599999998</v>
      </c>
    </row>
    <row r="59" spans="1:31" ht="12.75">
      <c r="A59" s="294" t="s">
        <v>54</v>
      </c>
      <c r="B59" s="295"/>
      <c r="C59" s="116">
        <f>C34+C49+C58</f>
        <v>145.64620000000002</v>
      </c>
      <c r="D59" s="116"/>
      <c r="E59" s="116">
        <f>E34+E49+E58</f>
        <v>126.35981877999998</v>
      </c>
      <c r="F59" s="54"/>
      <c r="G59" s="116"/>
      <c r="H59" s="116"/>
      <c r="I59" s="116"/>
      <c r="J59" s="116"/>
      <c r="K59" s="116"/>
      <c r="L59" s="116"/>
      <c r="M59" s="54"/>
      <c r="N59" s="116"/>
      <c r="O59" s="116"/>
      <c r="P59" s="116"/>
      <c r="Q59" s="116"/>
      <c r="R59" s="116"/>
      <c r="S59" s="54"/>
      <c r="T59" s="116">
        <f>T34+T49+T58</f>
        <v>98.46853899999999</v>
      </c>
      <c r="U59" s="116">
        <f>U34+U49+U58</f>
        <v>16.464596</v>
      </c>
      <c r="V59" s="116">
        <f>V34+V49+V58</f>
        <v>114.933135</v>
      </c>
      <c r="W59" s="116">
        <f>W34+W49+W58</f>
        <v>126.42644850000002</v>
      </c>
      <c r="X59" s="41">
        <f>X34+X49+X58</f>
        <v>-0.06662972000000256</v>
      </c>
      <c r="Y59" s="54"/>
      <c r="Z59" s="116">
        <f>Z58+Z49+Z34</f>
        <v>12.141756999999998</v>
      </c>
      <c r="AA59" s="116">
        <f>AA58+AA49+AA34</f>
        <v>3.183303</v>
      </c>
      <c r="AB59" s="116">
        <f>AB34+AB49+AB58</f>
        <v>15.32506</v>
      </c>
      <c r="AC59" s="116">
        <f>AC34+AC49+AC58</f>
        <v>16.857566000000002</v>
      </c>
      <c r="AD59" s="221">
        <f>AD34+AD49+AD58</f>
        <v>-16.92419572</v>
      </c>
      <c r="AE59" s="45">
        <f>AE34+AE49+AE58</f>
        <v>2.362185499999991</v>
      </c>
    </row>
    <row r="60" spans="1:31" ht="52.5" customHeight="1">
      <c r="A60" s="252" t="s">
        <v>87</v>
      </c>
      <c r="B60" s="254"/>
      <c r="C60" s="12">
        <f>C59+C48+C25</f>
        <v>145.64620000000002</v>
      </c>
      <c r="D60" s="141"/>
      <c r="E60" s="95">
        <f>E59+E48+E25</f>
        <v>126.35981877999998</v>
      </c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3">
        <f>T59+T48+T25</f>
        <v>106.78213899999999</v>
      </c>
      <c r="U60" s="23">
        <f>U59+U48+U25</f>
        <v>19.110916</v>
      </c>
      <c r="V60" s="23">
        <f>V59+V48+V25</f>
        <v>125.89305499999999</v>
      </c>
      <c r="W60" s="23">
        <f>W59+W48+W25</f>
        <v>138.48236050000003</v>
      </c>
      <c r="X60" s="23">
        <f>X59+X48+X25</f>
        <v>-0.06662972000000256</v>
      </c>
      <c r="Y60" s="23"/>
      <c r="Z60" s="23">
        <f aca="true" t="shared" si="33" ref="Z60:AE60">Z59+Z48+Z25</f>
        <v>12.362616999999998</v>
      </c>
      <c r="AA60" s="23">
        <f t="shared" si="33"/>
        <v>3.329803</v>
      </c>
      <c r="AB60" s="23">
        <f t="shared" si="33"/>
        <v>15.69242</v>
      </c>
      <c r="AC60" s="23">
        <f t="shared" si="33"/>
        <v>17.261662</v>
      </c>
      <c r="AD60" s="23">
        <f t="shared" si="33"/>
        <v>-16.92419572</v>
      </c>
      <c r="AE60" s="12">
        <f t="shared" si="33"/>
        <v>2.362185499999991</v>
      </c>
    </row>
    <row r="61" spans="24:28" ht="12.75">
      <c r="X61" s="16"/>
      <c r="Y61" s="16"/>
      <c r="Z61" s="16"/>
      <c r="AA61" s="16"/>
      <c r="AB61" s="16"/>
    </row>
    <row r="62" ht="12.75">
      <c r="A62" t="s">
        <v>57</v>
      </c>
    </row>
    <row r="64" ht="12.75">
      <c r="H64" s="65"/>
    </row>
  </sheetData>
  <sheetProtection/>
  <mergeCells count="48">
    <mergeCell ref="AC2:AD2"/>
    <mergeCell ref="AC3:AD3"/>
    <mergeCell ref="AC4:AD4"/>
    <mergeCell ref="AC5:AD5"/>
    <mergeCell ref="A8:AD8"/>
    <mergeCell ref="A9:AD9"/>
    <mergeCell ref="A10:AD10"/>
    <mergeCell ref="C12:E12"/>
    <mergeCell ref="G12:L12"/>
    <mergeCell ref="N12:R12"/>
    <mergeCell ref="T12:X12"/>
    <mergeCell ref="Z12:AD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A13:AA14"/>
    <mergeCell ref="AB13:AB14"/>
    <mergeCell ref="M13:M14"/>
    <mergeCell ref="N13:N14"/>
    <mergeCell ref="O13:O14"/>
    <mergeCell ref="P13:P14"/>
    <mergeCell ref="Q13:Q14"/>
    <mergeCell ref="R13:R14"/>
    <mergeCell ref="AC13:AC14"/>
    <mergeCell ref="AD13:AD14"/>
    <mergeCell ref="AE13:AE14"/>
    <mergeCell ref="A16:AD16"/>
    <mergeCell ref="A34:B34"/>
    <mergeCell ref="A35:AE35"/>
    <mergeCell ref="S13:S14"/>
    <mergeCell ref="T13:W13"/>
    <mergeCell ref="X13:X14"/>
    <mergeCell ref="Z13:Z14"/>
    <mergeCell ref="A36:AE36"/>
    <mergeCell ref="A49:B49"/>
    <mergeCell ref="A50:AE50"/>
    <mergeCell ref="A58:B58"/>
    <mergeCell ref="A59:B59"/>
    <mergeCell ref="A60:B60"/>
  </mergeCells>
  <printOptions horizontalCentered="1"/>
  <pageMargins left="0.5511811023622047" right="0.5511811023622047" top="0.8661417322834646" bottom="0.7086614173228347" header="0" footer="0"/>
  <pageSetup fitToHeight="1" fitToWidth="1" horizontalDpi="300" verticalDpi="3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Варвара</dc:creator>
  <cp:keywords/>
  <dc:description/>
  <cp:lastModifiedBy>НачальникПТО</cp:lastModifiedBy>
  <cp:lastPrinted>2020-10-05T00:51:52Z</cp:lastPrinted>
  <dcterms:created xsi:type="dcterms:W3CDTF">2008-04-14T07:35:39Z</dcterms:created>
  <dcterms:modified xsi:type="dcterms:W3CDTF">2020-12-28T06:10:18Z</dcterms:modified>
  <cp:category/>
  <cp:version/>
  <cp:contentType/>
  <cp:contentStatus/>
</cp:coreProperties>
</file>